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/comment2.xml" ContentType="application/vnd.openxmlformats-officedocument.spreadsheetml.comments+xml"/>
  <Override PartName="/xl/worksheets/sheet7.xml" ContentType="application/vnd.openxmlformats-officedocument.spreadsheetml.worksheet+xml"/>
  <Override PartName="/xl/comments/comment3.xml" ContentType="application/vnd.openxmlformats-officedocument.spreadsheetml.comments+xml"/>
  <Override PartName="/xl/worksheets/sheet8.xml" ContentType="application/vnd.openxmlformats-officedocument.spreadsheetml.worksheet+xml"/>
  <Override PartName="/xl/comments/comment4.xml" ContentType="application/vnd.openxmlformats-officedocument.spreadsheetml.comments+xml"/>
  <Override PartName="/xl/worksheets/sheet9.xml" ContentType="application/vnd.openxmlformats-officedocument.spreadsheetml.worksheet+xml"/>
  <Override PartName="/xl/comments/comment5.xml" ContentType="application/vnd.openxmlformats-officedocument.spreadsheetml.comments+xml"/>
  <Override PartName="/xl/worksheets/sheet10.xml" ContentType="application/vnd.openxmlformats-officedocument.spreadsheetml.worksheet+xml"/>
  <Override PartName="/xl/comments/comment6.xml" ContentType="application/vnd.openxmlformats-officedocument.spreadsheetml.comments+xml"/>
  <Override PartName="/xl/worksheets/sheet11.xml" ContentType="application/vnd.openxmlformats-officedocument.spreadsheetml.worksheet+xml"/>
  <Override PartName="/xl/comments/comment7.xml" ContentType="application/vnd.openxmlformats-officedocument.spreadsheetml.comments+xml"/>
  <Override PartName="/xl/worksheets/sheet12.xml" ContentType="application/vnd.openxmlformats-officedocument.spreadsheetml.worksheet+xml"/>
  <Override PartName="/xl/comments/comment8.xml" ContentType="application/vnd.openxmlformats-officedocument.spreadsheetml.comments+xml"/>
  <Override PartName="/xl/worksheets/sheet13.xml" ContentType="application/vnd.openxmlformats-officedocument.spreadsheetml.worksheet+xml"/>
  <Override PartName="/xl/comments/comment9.xml" ContentType="application/vnd.openxmlformats-officedocument.spreadsheetml.comments+xml"/>
  <Override PartName="/xl/worksheets/sheet14.xml" ContentType="application/vnd.openxmlformats-officedocument.spreadsheetml.worksheet+xml"/>
  <Override PartName="/xl/comments/comment10.xml" ContentType="application/vnd.openxmlformats-officedocument.spreadsheetml.comments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omments/comment11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720" tabRatio="500" firstSheet="1" activeTab="1" autoFilterDateGrouping="1"/>
  </bookViews>
  <sheets>
    <sheet xmlns:r="http://schemas.openxmlformats.org/officeDocument/2006/relationships" name="Exec_Summary" sheetId="1" state="visible" r:id="rId1"/>
    <sheet xmlns:r="http://schemas.openxmlformats.org/officeDocument/2006/relationships" name="Přehled" sheetId="2" state="visible" r:id="rId2"/>
    <sheet xmlns:r="http://schemas.openxmlformats.org/officeDocument/2006/relationships" name="Ropa_a_plyn" sheetId="3" state="visible" r:id="rId3"/>
    <sheet xmlns:r="http://schemas.openxmlformats.org/officeDocument/2006/relationships" name="EUR_USD" sheetId="4" state="visible" r:id="rId4"/>
    <sheet xmlns:r="http://schemas.openxmlformats.org/officeDocument/2006/relationships" name="Sensitivity" sheetId="5" state="visible" r:id="rId5"/>
    <sheet xmlns:r="http://schemas.openxmlformats.org/officeDocument/2006/relationships" name="Butyl" sheetId="6" state="visible" r:id="rId6"/>
    <sheet xmlns:r="http://schemas.openxmlformats.org/officeDocument/2006/relationships" name="Polyurethane_Sealant" sheetId="7" state="visible" r:id="rId7"/>
    <sheet xmlns:r="http://schemas.openxmlformats.org/officeDocument/2006/relationships" name="Polysulfide_Sealant" sheetId="8" state="visible" r:id="rId8"/>
    <sheet xmlns:r="http://schemas.openxmlformats.org/officeDocument/2006/relationships" name="Silikon" sheetId="9" state="visible" r:id="rId9"/>
    <sheet xmlns:r="http://schemas.openxmlformats.org/officeDocument/2006/relationships" name="Molecular_Sieve" sheetId="10" state="visible" r:id="rId10"/>
    <sheet xmlns:r="http://schemas.openxmlformats.org/officeDocument/2006/relationships" name="Spacers" sheetId="11" state="visible" r:id="rId11"/>
    <sheet xmlns:r="http://schemas.openxmlformats.org/officeDocument/2006/relationships" name="Float_Glass" sheetId="12" state="visible" r:id="rId12"/>
    <sheet xmlns:r="http://schemas.openxmlformats.org/officeDocument/2006/relationships" name="PVB_Film" sheetId="13" state="visible" r:id="rId13"/>
    <sheet xmlns:r="http://schemas.openxmlformats.org/officeDocument/2006/relationships" name="Glass_Coatings" sheetId="14" state="visible" r:id="rId14"/>
    <sheet xmlns:r="http://schemas.openxmlformats.org/officeDocument/2006/relationships" name="Action_Plan" sheetId="15" state="visible" r:id="rId15"/>
    <sheet xmlns:r="http://schemas.openxmlformats.org/officeDocument/2006/relationships" name="Preorders" sheetId="16" state="visible" r:id="rId16"/>
    <sheet xmlns:r="http://schemas.openxmlformats.org/officeDocument/2006/relationships" name="Metodika" sheetId="17" state="visible" r:id="rId17"/>
  </sheets>
  <definedNames>
    <definedName name="_xlnm._FilterDatabase" localSheetId="14" hidden="1">'Action_Plan'!$B$6:$J$12</definedName>
  </definedNames>
  <calcPr calcId="191029" fullCalcOnLoad="1" iterateDelta="0.0001"/>
</workbook>
</file>

<file path=xl/styles.xml><?xml version="1.0" encoding="utf-8"?>
<styleSheet xmlns="http://schemas.openxmlformats.org/spreadsheetml/2006/main">
  <numFmts count="8">
    <numFmt numFmtId="164" formatCode="0.0%"/>
    <numFmt numFmtId="165" formatCode="#,##0&quot; €&quot;"/>
    <numFmt numFmtId="166" formatCode="#,##0.00&quot; €&quot;"/>
    <numFmt numFmtId="167" formatCode="#,##0.00&quot; $&quot;"/>
    <numFmt numFmtId="168" formatCode="#,##0.0000"/>
    <numFmt numFmtId="169" formatCode="#,##0.000"/>
    <numFmt numFmtId="170" formatCode="#,##0.0"/>
    <numFmt numFmtId="171" formatCode="dd\.mm\.yyyy"/>
  </numFmts>
  <fonts count="31">
    <font>
      <name val="Calibri"/>
      <charset val="1"/>
      <family val="2"/>
      <color theme="1"/>
      <sz val="11"/>
    </font>
    <font>
      <name val="Arial"/>
      <charset val="1"/>
      <b val="1"/>
      <color rgb="FF1F4E79"/>
      <sz val="14"/>
    </font>
    <font>
      <name val="Arial"/>
      <charset val="1"/>
      <color rgb="FF666666"/>
      <sz val="10"/>
    </font>
    <font>
      <name val="Arial"/>
      <charset val="1"/>
      <b val="1"/>
      <color rgb="FF1F4E79"/>
      <sz val="11"/>
    </font>
    <font>
      <name val="Arial"/>
      <charset val="1"/>
      <b val="1"/>
      <color rgb="FF333333"/>
      <sz val="9"/>
    </font>
    <font>
      <name val="Arial"/>
      <charset val="1"/>
      <b val="1"/>
      <color rgb="FF1F4E79"/>
      <sz val="16"/>
    </font>
    <font>
      <name val="Arial"/>
      <charset val="1"/>
      <b val="1"/>
      <color rgb="FFCC0000"/>
      <sz val="10"/>
    </font>
    <font>
      <name val="Arial"/>
      <charset val="1"/>
      <color rgb="FF000000"/>
      <sz val="10"/>
    </font>
    <font>
      <name val="Arial"/>
      <charset val="1"/>
      <b val="1"/>
      <color rgb="FFFFFFFF"/>
      <sz val="10"/>
    </font>
    <font>
      <name val="Arial"/>
      <charset val="1"/>
      <b val="1"/>
      <color rgb="FF000000"/>
      <sz val="10"/>
    </font>
    <font>
      <name val="Arial"/>
      <charset val="1"/>
      <b val="1"/>
      <color rgb="FF2E7D32"/>
      <sz val="18"/>
    </font>
    <font>
      <name val="Arial"/>
      <charset val="1"/>
      <b val="1"/>
      <color rgb="FFE65100"/>
      <sz val="18"/>
    </font>
    <font>
      <name val="Arial"/>
      <charset val="1"/>
      <b val="1"/>
      <color rgb="FFCC0000"/>
      <sz val="18"/>
    </font>
    <font>
      <name val="Arial"/>
      <charset val="1"/>
      <b val="1"/>
      <color rgb="FFCC0000"/>
      <sz val="12"/>
    </font>
    <font>
      <name val="Arial"/>
      <charset val="1"/>
      <i val="1"/>
      <color rgb="FF808080"/>
      <sz val="9"/>
    </font>
    <font>
      <name val="Arial"/>
      <charset val="1"/>
      <color rgb="FF0000FF"/>
      <sz val="10"/>
    </font>
    <font>
      <name val="Arial"/>
      <charset val="1"/>
      <b val="1"/>
      <color rgb="FF7B1FA2"/>
      <sz val="10"/>
    </font>
    <font>
      <name val="Arial"/>
      <charset val="1"/>
      <color rgb="FF2E7D32"/>
      <sz val="9"/>
    </font>
    <font>
      <name val="Arial"/>
      <charset val="1"/>
      <b val="1"/>
      <color rgb="FF2E7D32"/>
      <sz val="10"/>
    </font>
    <font>
      <name val="Arial"/>
      <charset val="1"/>
      <i val="1"/>
      <color rgb="FF808080"/>
      <sz val="10"/>
    </font>
    <font>
      <name val="Arial"/>
      <charset val="1"/>
      <b val="1"/>
      <color rgb="FF1F4E79"/>
      <sz val="10"/>
    </font>
    <font>
      <name val="Arial"/>
      <charset val="1"/>
      <b val="1"/>
      <color rgb="FFCC0000"/>
      <sz val="11"/>
    </font>
    <font>
      <name val="Arial"/>
      <charset val="1"/>
      <color rgb="FF008000"/>
      <sz val="10"/>
    </font>
    <font>
      <name val="Arial"/>
      <family val="2"/>
      <sz val="10"/>
    </font>
    <font>
      <name val="Arial"/>
      <charset val="1"/>
      <b val="1"/>
      <color rgb="FFE65100"/>
      <sz val="10"/>
    </font>
    <font>
      <name val="Arial"/>
      <charset val="1"/>
      <b val="1"/>
      <color rgb="FF333333"/>
      <sz val="10"/>
    </font>
    <font>
      <name val="Arial"/>
      <charset val="1"/>
      <color rgb="FF2E7D32"/>
      <sz val="10"/>
    </font>
    <font>
      <name val="Arial"/>
      <charset val="1"/>
      <b val="1"/>
      <sz val="10"/>
    </font>
    <font>
      <name val="Arial"/>
      <charset val="1"/>
      <b val="1"/>
      <color rgb="FF00695C"/>
      <sz val="11"/>
    </font>
    <font>
      <name val="Calibri"/>
      <charset val="1"/>
      <family val="2"/>
      <sz val="8"/>
    </font>
    <font>
      <name val="Arial"/>
      <charset val="238"/>
      <family val="2"/>
      <b val="1"/>
      <color rgb="FF000000"/>
      <sz val="10"/>
    </font>
  </fonts>
  <fills count="29">
    <fill>
      <patternFill/>
    </fill>
    <fill>
      <patternFill patternType="gray125"/>
    </fill>
    <fill>
      <patternFill patternType="solid">
        <fgColor rgb="FFD6E4F0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1F4E79"/>
        <bgColor rgb="FF0D47A1"/>
      </patternFill>
    </fill>
    <fill>
      <patternFill patternType="solid">
        <fgColor rgb="FFE3F2FD"/>
        <bgColor rgb="FFE0F2F1"/>
      </patternFill>
    </fill>
    <fill>
      <patternFill patternType="solid">
        <fgColor rgb="FFE8F5E9"/>
        <bgColor rgb="FFE0F2F1"/>
      </patternFill>
    </fill>
    <fill>
      <patternFill patternType="solid">
        <fgColor rgb="FFFFF3E0"/>
        <bgColor rgb="FFFFF2CC"/>
      </patternFill>
    </fill>
    <fill>
      <patternFill patternType="solid">
        <fgColor rgb="FFFFEBEE"/>
        <bgColor rgb="FFFCE4EC"/>
      </patternFill>
    </fill>
    <fill>
      <patternFill patternType="solid">
        <fgColor rgb="FFFCE4EC"/>
        <bgColor rgb="FFFFEBEE"/>
      </patternFill>
    </fill>
    <fill>
      <patternFill patternType="solid">
        <fgColor rgb="FFF2F2F2"/>
        <bgColor rgb="FFE8F5E9"/>
      </patternFill>
    </fill>
    <fill>
      <patternFill patternType="solid">
        <fgColor rgb="FFFFF2CC"/>
        <bgColor rgb="FFFFF9C4"/>
      </patternFill>
    </fill>
    <fill>
      <patternFill patternType="solid">
        <fgColor rgb="FFF3E5F5"/>
        <bgColor rgb="FFFCE4EC"/>
      </patternFill>
    </fill>
    <fill>
      <patternFill patternType="solid">
        <fgColor rgb="FFE1BEE7"/>
        <bgColor rgb="FFFFCDD2"/>
      </patternFill>
    </fill>
    <fill>
      <patternFill patternType="solid">
        <fgColor rgb="FFB71C1C"/>
        <bgColor rgb="FFD32F2F"/>
      </patternFill>
    </fill>
    <fill>
      <patternFill patternType="solid">
        <fgColor rgb="FFFFCDD2"/>
        <bgColor rgb="FFFFE0B2"/>
      </patternFill>
    </fill>
    <fill>
      <patternFill patternType="solid">
        <fgColor rgb="FFFFF9C4"/>
        <bgColor rgb="FFFFF2CC"/>
      </patternFill>
    </fill>
    <fill>
      <patternFill patternType="solid">
        <fgColor rgb="FFFFE0B2"/>
        <bgColor rgb="FFFFF2CC"/>
      </patternFill>
    </fill>
    <fill>
      <patternFill patternType="solid">
        <fgColor rgb="FFC8E6C9"/>
        <bgColor rgb="FFB2DFDB"/>
      </patternFill>
    </fill>
    <fill>
      <patternFill patternType="solid">
        <fgColor rgb="FF00695C"/>
        <bgColor rgb="FF1F4E79"/>
      </patternFill>
    </fill>
    <fill>
      <patternFill patternType="solid">
        <fgColor rgb="FFB2DFDB"/>
        <bgColor rgb="FFC8E6C9"/>
      </patternFill>
    </fill>
    <fill>
      <patternFill patternType="solid">
        <fgColor rgb="FFE0F2F1"/>
        <bgColor rgb="FFE3F2FD"/>
      </patternFill>
    </fill>
    <fill>
      <patternFill patternType="solid">
        <fgColor rgb="FF00B0F0"/>
        <bgColor rgb="FFFCE4EC"/>
      </patternFill>
    </fill>
    <fill>
      <patternFill patternType="solid">
        <fgColor rgb="FF0070C0"/>
        <bgColor rgb="FFFCE4EC"/>
      </patternFill>
    </fill>
    <fill>
      <patternFill patternType="solid">
        <fgColor theme="9" tint="0.3999755851924192"/>
        <bgColor rgb="FFE0F2F1"/>
      </patternFill>
    </fill>
    <fill>
      <patternFill patternType="solid">
        <fgColor theme="6" tint="0.3999755851924192"/>
        <bgColor rgb="FFFFEBEE"/>
      </patternFill>
    </fill>
    <fill>
      <patternFill patternType="solid">
        <fgColor theme="6" tint="0.3999755851924192"/>
        <bgColor rgb="FFFFCDD2"/>
      </patternFill>
    </fill>
    <fill>
      <patternFill patternType="solid">
        <fgColor theme="6" tint="0.3999755851924192"/>
        <bgColor rgb="FFE0F2F1"/>
      </patternFill>
    </fill>
    <fill>
      <patternFill patternType="solid">
        <fgColor theme="5" tint="0.7999816888943144"/>
        <bgColor rgb="FFE8F5E9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1F4E79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</borders>
  <cellStyleXfs count="1">
    <xf numFmtId="0" fontId="0" fillId="0" borderId="0"/>
  </cellStyleXfs>
  <cellXfs count="252">
    <xf numFmtId="0" fontId="0" fillId="0" borderId="0" pivotButton="0" quotePrefix="0" xfId="0"/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7" fillId="3" borderId="2" applyAlignment="1" pivotButton="0" quotePrefix="0" xfId="0">
      <alignment horizontal="center" vertical="center" wrapText="1"/>
    </xf>
    <xf numFmtId="0" fontId="8" fillId="4" borderId="2" applyAlignment="1" pivotButton="0" quotePrefix="0" xfId="0">
      <alignment horizontal="center" vertical="center" wrapText="1"/>
    </xf>
    <xf numFmtId="0" fontId="9" fillId="5" borderId="2" applyAlignment="1" pivotButton="0" quotePrefix="0" xfId="0">
      <alignment horizontal="center" vertical="center" wrapText="1"/>
    </xf>
    <xf numFmtId="164" fontId="7" fillId="5" borderId="2" applyAlignment="1" pivotButton="0" quotePrefix="0" xfId="0">
      <alignment horizontal="center" vertical="center" wrapText="1"/>
    </xf>
    <xf numFmtId="165" fontId="10" fillId="5" borderId="2" applyAlignment="1" pivotButton="0" quotePrefix="0" xfId="0">
      <alignment horizontal="center" vertical="center" wrapText="1"/>
    </xf>
    <xf numFmtId="165" fontId="7" fillId="5" borderId="2" applyAlignment="1" pivotButton="0" quotePrefix="0" xfId="0">
      <alignment horizontal="center" vertical="center" wrapText="1"/>
    </xf>
    <xf numFmtId="0" fontId="9" fillId="6" borderId="2" applyAlignment="1" pivotButton="0" quotePrefix="0" xfId="0">
      <alignment horizontal="center" vertical="center" wrapText="1"/>
    </xf>
    <xf numFmtId="0" fontId="9" fillId="7" borderId="2" applyAlignment="1" pivotButton="0" quotePrefix="0" xfId="0">
      <alignment horizontal="center" vertical="center" wrapText="1"/>
    </xf>
    <xf numFmtId="164" fontId="7" fillId="7" borderId="2" applyAlignment="1" pivotButton="0" quotePrefix="0" xfId="0">
      <alignment horizontal="center" vertical="center" wrapText="1"/>
    </xf>
    <xf numFmtId="165" fontId="11" fillId="7" borderId="2" applyAlignment="1" pivotButton="0" quotePrefix="0" xfId="0">
      <alignment horizontal="center" vertical="center" wrapText="1"/>
    </xf>
    <xf numFmtId="165" fontId="7" fillId="7" borderId="2" applyAlignment="1" pivotButton="0" quotePrefix="0" xfId="0">
      <alignment horizontal="center" vertical="center" wrapText="1"/>
    </xf>
    <xf numFmtId="0" fontId="9" fillId="8" borderId="2" applyAlignment="1" pivotButton="0" quotePrefix="0" xfId="0">
      <alignment horizontal="center" vertical="center" wrapText="1"/>
    </xf>
    <xf numFmtId="164" fontId="7" fillId="8" borderId="2" applyAlignment="1" pivotButton="0" quotePrefix="0" xfId="0">
      <alignment horizontal="center" vertical="center" wrapText="1"/>
    </xf>
    <xf numFmtId="165" fontId="12" fillId="8" borderId="2" applyAlignment="1" pivotButton="0" quotePrefix="0" xfId="0">
      <alignment horizontal="center" vertical="center" wrapText="1"/>
    </xf>
    <xf numFmtId="164" fontId="6" fillId="8" borderId="2" applyAlignment="1" pivotButton="0" quotePrefix="0" xfId="0">
      <alignment horizontal="center" vertical="center" wrapText="1"/>
    </xf>
    <xf numFmtId="165" fontId="7" fillId="8" borderId="2" applyAlignment="1" pivotButton="0" quotePrefix="0" xfId="0">
      <alignment horizontal="center" vertical="center" wrapText="1"/>
    </xf>
    <xf numFmtId="0" fontId="7" fillId="3" borderId="2" applyAlignment="1" pivotButton="0" quotePrefix="0" xfId="0">
      <alignment horizontal="left" vertical="center" wrapText="1"/>
    </xf>
    <xf numFmtId="166" fontId="7" fillId="3" borderId="2" applyAlignment="1" pivotButton="0" quotePrefix="0" xfId="0">
      <alignment horizontal="center" vertical="center" wrapText="1"/>
    </xf>
    <xf numFmtId="166" fontId="9" fillId="8" borderId="2" applyAlignment="1" pivotButton="0" quotePrefix="0" xfId="0">
      <alignment horizontal="center" vertical="center" wrapText="1"/>
    </xf>
    <xf numFmtId="165" fontId="6" fillId="9" borderId="2" applyAlignment="1" pivotButton="0" quotePrefix="0" xfId="0">
      <alignment horizontal="center" vertical="center" wrapText="1"/>
    </xf>
    <xf numFmtId="0" fontId="9" fillId="10" borderId="2" applyAlignment="1" pivotButton="0" quotePrefix="0" xfId="0">
      <alignment horizontal="left" vertical="center" wrapText="1"/>
    </xf>
    <xf numFmtId="0" fontId="7" fillId="10" borderId="2" applyAlignment="1" pivotButton="0" quotePrefix="0" xfId="0">
      <alignment horizontal="center" vertical="center" wrapText="1"/>
    </xf>
    <xf numFmtId="165" fontId="13" fillId="9" borderId="2" applyAlignment="1" pivotButton="0" quotePrefix="0" xfId="0">
      <alignment horizontal="center" vertical="center" wrapText="1"/>
    </xf>
    <xf numFmtId="0" fontId="14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165" fontId="7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14" fillId="0" borderId="0" applyAlignment="1" pivotButton="0" quotePrefix="0" xfId="0">
      <alignment horizontal="left" vertical="center" wrapText="1"/>
    </xf>
    <xf numFmtId="0" fontId="7" fillId="10" borderId="2" applyAlignment="1" pivotButton="0" quotePrefix="0" xfId="0">
      <alignment horizontal="left" vertical="center" wrapText="1"/>
    </xf>
    <xf numFmtId="167" fontId="15" fillId="11" borderId="2" applyAlignment="1" pivotButton="0" quotePrefix="0" xfId="0">
      <alignment horizontal="center" vertical="center" wrapText="1"/>
    </xf>
    <xf numFmtId="167" fontId="7" fillId="10" borderId="2" applyAlignment="1" pivotButton="0" quotePrefix="0" xfId="0">
      <alignment horizontal="center" vertical="center" wrapText="1"/>
    </xf>
    <xf numFmtId="164" fontId="6" fillId="10" borderId="2" applyAlignment="1" pivotButton="0" quotePrefix="0" xfId="0">
      <alignment horizontal="center" vertical="center" wrapText="1"/>
    </xf>
    <xf numFmtId="166" fontId="15" fillId="11" borderId="2" applyAlignment="1" pivotButton="0" quotePrefix="0" xfId="0">
      <alignment horizontal="center" vertical="center" wrapText="1"/>
    </xf>
    <xf numFmtId="166" fontId="7" fillId="10" borderId="2" applyAlignment="1" pivotButton="0" quotePrefix="0" xfId="0">
      <alignment horizontal="center" vertical="center" wrapText="1"/>
    </xf>
    <xf numFmtId="3" fontId="15" fillId="11" borderId="2" applyAlignment="1" pivotButton="0" quotePrefix="0" xfId="0">
      <alignment horizontal="center" vertical="center" wrapText="1"/>
    </xf>
    <xf numFmtId="3" fontId="7" fillId="10" borderId="2" applyAlignment="1" pivotButton="0" quotePrefix="0" xfId="0">
      <alignment horizontal="center" vertical="center" wrapText="1"/>
    </xf>
    <xf numFmtId="166" fontId="7" fillId="5" borderId="2" applyAlignment="1" pivotButton="0" quotePrefix="0" xfId="0">
      <alignment horizontal="center" vertical="center" wrapText="1"/>
    </xf>
    <xf numFmtId="166" fontId="7" fillId="7" borderId="2" applyAlignment="1" pivotButton="0" quotePrefix="0" xfId="0">
      <alignment horizontal="center" vertical="center" wrapText="1"/>
    </xf>
    <xf numFmtId="166" fontId="7" fillId="8" borderId="2" applyAlignment="1" pivotButton="0" quotePrefix="0" xfId="0">
      <alignment horizontal="center" vertical="center" wrapText="1"/>
    </xf>
    <xf numFmtId="164" fontId="16" fillId="13" borderId="2" applyAlignment="1" pivotButton="0" quotePrefix="0" xfId="0">
      <alignment horizontal="center" vertical="center" wrapText="1"/>
    </xf>
    <xf numFmtId="0" fontId="17" fillId="6" borderId="2" applyAlignment="1" pivotButton="0" quotePrefix="0" xfId="0">
      <alignment horizontal="center" vertical="center" wrapText="1"/>
    </xf>
    <xf numFmtId="0" fontId="18" fillId="6" borderId="2" applyAlignment="1" pivotButton="0" quotePrefix="0" xfId="0">
      <alignment horizontal="center" vertical="center" wrapText="1"/>
    </xf>
    <xf numFmtId="0" fontId="15" fillId="11" borderId="2" applyAlignment="1" pivotButton="0" quotePrefix="0" xfId="0">
      <alignment horizontal="center" vertical="center" wrapText="1"/>
    </xf>
    <xf numFmtId="0" fontId="14" fillId="10" borderId="2" applyAlignment="1" pivotButton="0" quotePrefix="0" xfId="0">
      <alignment horizontal="center" vertical="center" wrapText="1"/>
    </xf>
    <xf numFmtId="0" fontId="19" fillId="10" borderId="2" applyAlignment="1" pivotButton="0" quotePrefix="0" xfId="0">
      <alignment horizontal="center" vertical="center" wrapText="1"/>
    </xf>
    <xf numFmtId="165" fontId="6" fillId="9" borderId="2" applyAlignment="1" pivotButton="0" quotePrefix="0" xfId="0">
      <alignment horizontal="center" vertical="center" wrapText="1"/>
    </xf>
    <xf numFmtId="0" fontId="20" fillId="10" borderId="2" applyAlignment="1" pivotButton="0" quotePrefix="0" xfId="0">
      <alignment horizontal="left" vertical="center" wrapText="1"/>
    </xf>
    <xf numFmtId="0" fontId="7" fillId="5" borderId="2" applyAlignment="1" pivotButton="0" quotePrefix="0" xfId="0">
      <alignment horizontal="center" vertical="center" wrapText="1"/>
    </xf>
    <xf numFmtId="0" fontId="7" fillId="7" borderId="2" applyAlignment="1" pivotButton="0" quotePrefix="0" xfId="0">
      <alignment horizontal="center" vertical="center" wrapText="1"/>
    </xf>
    <xf numFmtId="0" fontId="7" fillId="8" borderId="2" applyAlignment="1" pivotButton="0" quotePrefix="0" xfId="0">
      <alignment horizontal="center" vertical="center" wrapText="1"/>
    </xf>
    <xf numFmtId="165" fontId="21" fillId="9" borderId="2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left" vertical="center" wrapText="1"/>
    </xf>
    <xf numFmtId="0" fontId="15" fillId="11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0" fontId="22" fillId="3" borderId="0" applyAlignment="1" pivotButton="0" quotePrefix="0" xfId="0">
      <alignment horizontal="left" vertical="center" wrapText="1"/>
    </xf>
    <xf numFmtId="167" fontId="7" fillId="3" borderId="2" applyAlignment="1" pivotButton="0" quotePrefix="0" xfId="0">
      <alignment horizontal="center" vertical="center" wrapText="1"/>
    </xf>
    <xf numFmtId="164" fontId="6" fillId="3" borderId="2" applyAlignment="1" pivotButton="0" quotePrefix="0" xfId="0">
      <alignment horizontal="center" vertical="center" wrapText="1"/>
    </xf>
    <xf numFmtId="167" fontId="15" fillId="5" borderId="2" applyAlignment="1" pivotButton="0" quotePrefix="0" xfId="0">
      <alignment horizontal="center" vertical="center" wrapText="1"/>
    </xf>
    <xf numFmtId="167" fontId="15" fillId="7" borderId="2" applyAlignment="1" pivotButton="0" quotePrefix="0" xfId="0">
      <alignment horizontal="center" vertical="center" wrapText="1"/>
    </xf>
    <xf numFmtId="167" fontId="15" fillId="8" borderId="2" applyAlignment="1" pivotButton="0" quotePrefix="0" xfId="0">
      <alignment horizontal="center" vertical="center" wrapText="1"/>
    </xf>
    <xf numFmtId="166" fontId="15" fillId="5" borderId="2" applyAlignment="1" pivotButton="0" quotePrefix="0" xfId="0">
      <alignment horizontal="center" vertical="center" wrapText="1"/>
    </xf>
    <xf numFmtId="166" fontId="15" fillId="7" borderId="2" applyAlignment="1" pivotButton="0" quotePrefix="0" xfId="0">
      <alignment horizontal="center" vertical="center" wrapText="1"/>
    </xf>
    <xf numFmtId="166" fontId="15" fillId="8" borderId="2" applyAlignment="1" pivotButton="0" quotePrefix="0" xfId="0">
      <alignment horizontal="center" vertical="center" wrapText="1"/>
    </xf>
    <xf numFmtId="0" fontId="4" fillId="5" borderId="2" applyAlignment="1" pivotButton="0" quotePrefix="0" xfId="0">
      <alignment horizontal="left" vertical="center" wrapText="1"/>
    </xf>
    <xf numFmtId="0" fontId="4" fillId="7" borderId="2" applyAlignment="1" pivotButton="0" quotePrefix="0" xfId="0">
      <alignment horizontal="left" vertical="center" wrapText="1"/>
    </xf>
    <xf numFmtId="0" fontId="4" fillId="8" borderId="2" applyAlignment="1" pivotButton="0" quotePrefix="0" xfId="0">
      <alignment horizontal="left" vertical="center" wrapText="1"/>
    </xf>
    <xf numFmtId="168" fontId="15" fillId="11" borderId="2" applyAlignment="1" pivotButton="0" quotePrefix="0" xfId="0">
      <alignment horizontal="center" vertical="center" wrapText="1"/>
    </xf>
    <xf numFmtId="164" fontId="7" fillId="10" borderId="2" applyAlignment="1" pivotButton="0" quotePrefix="0" xfId="0">
      <alignment horizontal="center" vertical="center" wrapText="1"/>
    </xf>
    <xf numFmtId="0" fontId="7" fillId="6" borderId="2" applyAlignment="1" pivotButton="0" quotePrefix="0" xfId="0">
      <alignment horizontal="left" vertical="center" wrapText="1"/>
    </xf>
    <xf numFmtId="169" fontId="15" fillId="11" borderId="2" applyAlignment="1" pivotButton="0" quotePrefix="0" xfId="0">
      <alignment horizontal="center" vertical="center" wrapText="1"/>
    </xf>
    <xf numFmtId="164" fontId="7" fillId="6" borderId="2" applyAlignment="1" pivotButton="0" quotePrefix="0" xfId="0">
      <alignment horizontal="center" vertical="center" wrapText="1"/>
    </xf>
    <xf numFmtId="0" fontId="14" fillId="6" borderId="2" applyAlignment="1" pivotButton="0" quotePrefix="0" xfId="0">
      <alignment horizontal="left" vertical="center" wrapText="1"/>
    </xf>
    <xf numFmtId="0" fontId="14" fillId="10" borderId="2" applyAlignment="1" pivotButton="0" quotePrefix="0" xfId="0">
      <alignment horizontal="left" vertical="center" wrapText="1"/>
    </xf>
    <xf numFmtId="0" fontId="7" fillId="7" borderId="2" applyAlignment="1" pivotButton="0" quotePrefix="0" xfId="0">
      <alignment horizontal="left" vertical="center" wrapText="1"/>
    </xf>
    <xf numFmtId="0" fontId="14" fillId="7" borderId="2" applyAlignment="1" pivotButton="0" quotePrefix="0" xfId="0">
      <alignment horizontal="left" vertical="center" wrapText="1"/>
    </xf>
    <xf numFmtId="0" fontId="7" fillId="8" borderId="2" applyAlignment="1" pivotButton="0" quotePrefix="0" xfId="0">
      <alignment horizontal="left" vertical="center" wrapText="1"/>
    </xf>
    <xf numFmtId="0" fontId="14" fillId="8" borderId="2" applyAlignment="1" pivotButton="0" quotePrefix="0" xfId="0">
      <alignment horizontal="left" vertical="center" wrapText="1"/>
    </xf>
    <xf numFmtId="167" fontId="22" fillId="10" borderId="2" applyAlignment="1" pivotButton="0" quotePrefix="0" xfId="0">
      <alignment horizontal="center" vertical="center" wrapText="1"/>
    </xf>
    <xf numFmtId="169" fontId="22" fillId="10" borderId="2" applyAlignment="1" pivotButton="0" quotePrefix="0" xfId="0">
      <alignment horizontal="center" vertical="center" wrapText="1"/>
    </xf>
    <xf numFmtId="0" fontId="9" fillId="3" borderId="2" applyAlignment="1" pivotButton="0" quotePrefix="0" xfId="0">
      <alignment horizontal="left" vertical="center" wrapText="1"/>
    </xf>
    <xf numFmtId="167" fontId="22" fillId="3" borderId="2" applyAlignment="1" pivotButton="0" quotePrefix="0" xfId="0">
      <alignment horizontal="center" vertical="center" wrapText="1"/>
    </xf>
    <xf numFmtId="169" fontId="22" fillId="3" borderId="2" applyAlignment="1" pivotButton="0" quotePrefix="0" xfId="0">
      <alignment horizontal="center" vertical="center" wrapText="1"/>
    </xf>
    <xf numFmtId="166" fontId="7" fillId="9" borderId="2" applyAlignment="1" pivotButton="0" quotePrefix="0" xfId="0">
      <alignment horizontal="center" vertical="center" wrapText="1"/>
    </xf>
    <xf numFmtId="164" fontId="6" fillId="9" borderId="2" applyAlignment="1" pivotButton="0" quotePrefix="0" xfId="0">
      <alignment horizontal="center" vertical="center" wrapText="1"/>
    </xf>
    <xf numFmtId="0" fontId="9" fillId="10" borderId="2" applyAlignment="1" pivotButton="0" quotePrefix="0" xfId="0">
      <alignment horizontal="center" vertical="center" wrapText="1"/>
    </xf>
    <xf numFmtId="165" fontId="24" fillId="7" borderId="2" applyAlignment="1" pivotButton="0" quotePrefix="0" xfId="0">
      <alignment horizontal="center" vertical="center" wrapText="1"/>
    </xf>
    <xf numFmtId="165" fontId="6" fillId="8" borderId="2" applyAlignment="1" pivotButton="0" quotePrefix="0" xfId="0">
      <alignment horizontal="center" vertical="center" wrapText="1"/>
    </xf>
    <xf numFmtId="165" fontId="8" fillId="14" borderId="2" applyAlignment="1" pivotButton="0" quotePrefix="0" xfId="0">
      <alignment horizontal="center" vertical="center" wrapText="1"/>
    </xf>
    <xf numFmtId="164" fontId="25" fillId="6" borderId="2" applyAlignment="1" pivotButton="0" quotePrefix="0" xfId="0">
      <alignment horizontal="center" vertical="center" wrapText="1"/>
    </xf>
    <xf numFmtId="164" fontId="25" fillId="8" borderId="2" applyAlignment="1" pivotButton="0" quotePrefix="0" xfId="0">
      <alignment horizontal="center" vertical="center" wrapText="1"/>
    </xf>
    <xf numFmtId="164" fontId="8" fillId="14" borderId="2" applyAlignment="1" pivotButton="0" quotePrefix="0" xfId="0">
      <alignment horizontal="center" vertical="center" wrapText="1"/>
    </xf>
    <xf numFmtId="164" fontId="25" fillId="7" borderId="2" applyAlignment="1" pivotButton="0" quotePrefix="0" xfId="0">
      <alignment horizontal="center" vertical="center" wrapText="1"/>
    </xf>
    <xf numFmtId="0" fontId="7" fillId="6" borderId="2" applyAlignment="1" pivotButton="0" quotePrefix="0" xfId="0">
      <alignment horizontal="center" vertical="center" wrapText="1"/>
    </xf>
    <xf numFmtId="0" fontId="7" fillId="14" borderId="2" applyAlignment="1" pivotButton="0" quotePrefix="0" xfId="0">
      <alignment horizontal="center" vertical="center" wrapText="1"/>
    </xf>
    <xf numFmtId="164" fontId="15" fillId="11" borderId="2" applyAlignment="1" pivotButton="0" quotePrefix="0" xfId="0">
      <alignment horizontal="center" vertical="center" wrapText="1"/>
    </xf>
    <xf numFmtId="166" fontId="6" fillId="5" borderId="2" applyAlignment="1" pivotButton="0" quotePrefix="0" xfId="0">
      <alignment horizontal="center" vertical="center" wrapText="1"/>
    </xf>
    <xf numFmtId="164" fontId="6" fillId="5" borderId="2" applyAlignment="1" pivotButton="0" quotePrefix="0" xfId="0">
      <alignment horizontal="center" vertical="center" wrapText="1"/>
    </xf>
    <xf numFmtId="166" fontId="6" fillId="7" borderId="2" applyAlignment="1" pivotButton="0" quotePrefix="0" xfId="0">
      <alignment horizontal="center" vertical="center" wrapText="1"/>
    </xf>
    <xf numFmtId="164" fontId="6" fillId="7" borderId="2" applyAlignment="1" pivotButton="0" quotePrefix="0" xfId="0">
      <alignment horizontal="center" vertical="center" wrapText="1"/>
    </xf>
    <xf numFmtId="166" fontId="6" fillId="8" borderId="2" applyAlignment="1" pivotButton="0" quotePrefix="0" xfId="0">
      <alignment horizontal="center" vertical="center" wrapText="1"/>
    </xf>
    <xf numFmtId="3" fontId="7" fillId="3" borderId="2" applyAlignment="1" pivotButton="0" quotePrefix="0" xfId="0">
      <alignment horizontal="center" vertical="center" wrapText="1"/>
    </xf>
    <xf numFmtId="166" fontId="22" fillId="3" borderId="2" applyAlignment="1" pivotButton="0" quotePrefix="0" xfId="0">
      <alignment horizontal="center" vertical="center" wrapText="1"/>
    </xf>
    <xf numFmtId="166" fontId="22" fillId="5" borderId="2" applyAlignment="1" pivotButton="0" quotePrefix="0" xfId="0">
      <alignment horizontal="center" vertical="center" wrapText="1"/>
    </xf>
    <xf numFmtId="165" fontId="7" fillId="3" borderId="2" applyAlignment="1" pivotButton="0" quotePrefix="0" xfId="0">
      <alignment horizontal="center" vertical="center" wrapText="1"/>
    </xf>
    <xf numFmtId="165" fontId="7" fillId="10" borderId="2" applyAlignment="1" pivotButton="0" quotePrefix="0" xfId="0">
      <alignment horizontal="center" vertical="center" wrapText="1"/>
    </xf>
    <xf numFmtId="0" fontId="4" fillId="10" borderId="2" applyAlignment="1" pivotButton="0" quotePrefix="0" xfId="0">
      <alignment horizontal="left" vertical="center" wrapText="1"/>
    </xf>
    <xf numFmtId="165" fontId="9" fillId="10" borderId="2" applyAlignment="1" pivotButton="0" quotePrefix="0" xfId="0">
      <alignment horizontal="center" vertical="center" wrapText="1"/>
    </xf>
    <xf numFmtId="166" fontId="22" fillId="7" borderId="2" applyAlignment="1" pivotButton="0" quotePrefix="0" xfId="0">
      <alignment horizontal="center" vertical="center" wrapText="1"/>
    </xf>
    <xf numFmtId="166" fontId="22" fillId="8" borderId="2" applyAlignment="1" pivotButton="0" quotePrefix="0" xfId="0">
      <alignment horizontal="center" vertical="center" wrapText="1"/>
    </xf>
    <xf numFmtId="166" fontId="16" fillId="13" borderId="2" applyAlignment="1" pivotButton="0" quotePrefix="0" xfId="0">
      <alignment horizontal="center" vertical="center" wrapText="1"/>
    </xf>
    <xf numFmtId="164" fontId="16" fillId="12" borderId="2" applyAlignment="1" pivotButton="0" quotePrefix="0" xfId="0">
      <alignment horizontal="center" vertical="center" wrapText="1"/>
    </xf>
    <xf numFmtId="166" fontId="7" fillId="12" borderId="2" applyAlignment="1" pivotButton="0" quotePrefix="0" xfId="0">
      <alignment horizontal="center" vertical="center" wrapText="1"/>
    </xf>
    <xf numFmtId="3" fontId="22" fillId="3" borderId="2" applyAlignment="1" pivotButton="0" quotePrefix="0" xfId="0">
      <alignment horizontal="center" vertical="center" wrapText="1"/>
    </xf>
    <xf numFmtId="165" fontId="27" fillId="10" borderId="2" applyAlignment="1" pivotButton="0" quotePrefix="0" xfId="0">
      <alignment horizontal="center" vertical="center" wrapText="1"/>
    </xf>
    <xf numFmtId="166" fontId="16" fillId="13" borderId="2" applyAlignment="1" pivotButton="0" quotePrefix="0" xfId="0">
      <alignment horizontal="center" vertical="center" wrapText="1"/>
    </xf>
    <xf numFmtId="166" fontId="7" fillId="12" borderId="2" applyAlignment="1" pivotButton="0" quotePrefix="0" xfId="0">
      <alignment horizontal="center" vertical="center" wrapText="1"/>
    </xf>
    <xf numFmtId="0" fontId="9" fillId="15" borderId="2" applyAlignment="1" pivotButton="0" quotePrefix="0" xfId="0">
      <alignment horizontal="left" vertical="center" wrapText="1"/>
    </xf>
    <xf numFmtId="0" fontId="9" fillId="15" borderId="2" applyAlignment="1" pivotButton="0" quotePrefix="0" xfId="0">
      <alignment horizontal="center" vertical="center" wrapText="1"/>
    </xf>
    <xf numFmtId="0" fontId="6" fillId="15" borderId="2" applyAlignment="1" pivotButton="0" quotePrefix="0" xfId="0">
      <alignment horizontal="center" vertical="center" wrapText="1"/>
    </xf>
    <xf numFmtId="0" fontId="7" fillId="3" borderId="2" applyAlignment="1" pivotButton="0" quotePrefix="0" xfId="0">
      <alignment horizontal="left" vertical="top" wrapText="1"/>
    </xf>
    <xf numFmtId="0" fontId="9" fillId="16" borderId="2" applyAlignment="1" pivotButton="0" quotePrefix="0" xfId="0">
      <alignment horizontal="left" vertical="center" wrapText="1"/>
    </xf>
    <xf numFmtId="0" fontId="9" fillId="16" borderId="2" applyAlignment="1" pivotButton="0" quotePrefix="0" xfId="0">
      <alignment horizontal="center" vertical="center" wrapText="1"/>
    </xf>
    <xf numFmtId="0" fontId="6" fillId="16" borderId="2" applyAlignment="1" pivotButton="0" quotePrefix="0" xfId="0">
      <alignment horizontal="center" vertical="center" wrapText="1"/>
    </xf>
    <xf numFmtId="0" fontId="9" fillId="17" borderId="2" applyAlignment="1" pivotButton="0" quotePrefix="0" xfId="0">
      <alignment horizontal="left" vertical="center" wrapText="1"/>
    </xf>
    <xf numFmtId="0" fontId="9" fillId="17" borderId="2" applyAlignment="1" pivotButton="0" quotePrefix="0" xfId="0">
      <alignment horizontal="center" vertical="center" wrapText="1"/>
    </xf>
    <xf numFmtId="0" fontId="6" fillId="17" borderId="2" applyAlignment="1" pivotButton="0" quotePrefix="0" xfId="0">
      <alignment horizontal="center" vertical="center" wrapText="1"/>
    </xf>
    <xf numFmtId="0" fontId="9" fillId="18" borderId="2" applyAlignment="1" pivotButton="0" quotePrefix="0" xfId="0">
      <alignment horizontal="left" vertical="center" wrapText="1"/>
    </xf>
    <xf numFmtId="0" fontId="9" fillId="18" borderId="2" applyAlignment="1" pivotButton="0" quotePrefix="0" xfId="0">
      <alignment horizontal="center" vertical="center" wrapText="1"/>
    </xf>
    <xf numFmtId="0" fontId="6" fillId="18" borderId="2" applyAlignment="1" pivotButton="0" quotePrefix="0" xfId="0">
      <alignment horizontal="center" vertical="center" wrapText="1"/>
    </xf>
    <xf numFmtId="0" fontId="4" fillId="15" borderId="2" applyAlignment="1" pivotButton="0" quotePrefix="0" xfId="0">
      <alignment horizontal="center" vertical="center" wrapText="1"/>
    </xf>
    <xf numFmtId="0" fontId="7" fillId="3" borderId="3" applyAlignment="1" pivotButton="0" quotePrefix="0" xfId="0">
      <alignment horizontal="left" vertical="top" wrapText="1"/>
    </xf>
    <xf numFmtId="0" fontId="4" fillId="17" borderId="2" applyAlignment="1" pivotButton="0" quotePrefix="0" xfId="0">
      <alignment horizontal="center" vertical="center" wrapText="1"/>
    </xf>
    <xf numFmtId="0" fontId="0" fillId="0" borderId="4" pivotButton="0" quotePrefix="0" xfId="0"/>
    <xf numFmtId="0" fontId="4" fillId="16" borderId="2" applyAlignment="1" pivotButton="0" quotePrefix="0" xfId="0">
      <alignment horizontal="center" vertical="center" wrapText="1"/>
    </xf>
    <xf numFmtId="0" fontId="4" fillId="6" borderId="2" applyAlignment="1" pivotButton="0" quotePrefix="0" xfId="0">
      <alignment horizontal="center" vertical="center" wrapText="1"/>
    </xf>
    <xf numFmtId="0" fontId="7" fillId="6" borderId="2" applyAlignment="1" pivotButton="0" quotePrefix="0" xfId="0">
      <alignment horizontal="left" vertical="top" wrapText="1"/>
    </xf>
    <xf numFmtId="0" fontId="0" fillId="0" borderId="5" pivotButton="0" quotePrefix="0" xfId="0"/>
    <xf numFmtId="0" fontId="8" fillId="19" borderId="2" applyAlignment="1" pivotButton="0" quotePrefix="0" xfId="0">
      <alignment horizontal="center" vertical="center" wrapText="1"/>
    </xf>
    <xf numFmtId="3" fontId="15" fillId="20" borderId="2" applyAlignment="1" pivotButton="0" quotePrefix="0" xfId="0">
      <alignment horizontal="center" vertical="center" wrapText="1"/>
    </xf>
    <xf numFmtId="165" fontId="7" fillId="21" borderId="2" applyAlignment="1" pivotButton="0" quotePrefix="0" xfId="0">
      <alignment horizontal="center" vertical="center" wrapText="1"/>
    </xf>
    <xf numFmtId="170" fontId="15" fillId="20" borderId="2" applyAlignment="1" pivotButton="0" quotePrefix="0" xfId="0">
      <alignment horizontal="center" vertical="center" wrapText="1"/>
    </xf>
    <xf numFmtId="170" fontId="9" fillId="21" borderId="2" applyAlignment="1" pivotButton="0" quotePrefix="0" xfId="0">
      <alignment horizontal="center" vertical="center" wrapText="1"/>
    </xf>
    <xf numFmtId="171" fontId="15" fillId="20" borderId="2" applyAlignment="1" pivotButton="0" quotePrefix="0" xfId="0">
      <alignment horizontal="center" vertical="center" wrapText="1"/>
    </xf>
    <xf numFmtId="0" fontId="15" fillId="20" borderId="2" applyAlignment="1" pivotButton="0" quotePrefix="0" xfId="0">
      <alignment horizontal="center" vertical="center" wrapText="1"/>
    </xf>
    <xf numFmtId="0" fontId="14" fillId="3" borderId="2" applyAlignment="1" pivotButton="0" quotePrefix="0" xfId="0">
      <alignment horizontal="left" vertical="center" wrapText="1"/>
    </xf>
    <xf numFmtId="165" fontId="28" fillId="21" borderId="2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top" wrapText="1"/>
    </xf>
    <xf numFmtId="0" fontId="7" fillId="0" borderId="0" applyAlignment="1" pivotButton="0" quotePrefix="0" xfId="0">
      <alignment horizontal="left" vertical="top" wrapText="1"/>
    </xf>
    <xf numFmtId="0" fontId="8" fillId="22" borderId="2" applyAlignment="1" pivotButton="0" quotePrefix="0" xfId="0">
      <alignment horizontal="center" vertical="center" wrapText="1"/>
    </xf>
    <xf numFmtId="0" fontId="8" fillId="23" borderId="2" applyAlignment="1" pivotButton="0" quotePrefix="0" xfId="0">
      <alignment horizontal="center" vertical="center" wrapText="1"/>
    </xf>
    <xf numFmtId="0" fontId="6" fillId="3" borderId="2" applyAlignment="1" pivotButton="0" quotePrefix="0" xfId="0">
      <alignment horizontal="center" vertical="center" wrapText="1"/>
    </xf>
    <xf numFmtId="0" fontId="7" fillId="3" borderId="2" applyAlignment="1" pivotButton="0" quotePrefix="0" xfId="0">
      <alignment horizontal="center" vertical="center" wrapText="1"/>
    </xf>
    <xf numFmtId="0" fontId="4" fillId="2" borderId="2" applyAlignment="1" pivotButton="0" quotePrefix="0" xfId="0">
      <alignment horizontal="center" vertical="center" wrapText="1"/>
    </xf>
    <xf numFmtId="167" fontId="5" fillId="3" borderId="2" applyAlignment="1" pivotButton="0" quotePrefix="0" xfId="0">
      <alignment horizontal="center" vertical="center" wrapText="1"/>
    </xf>
    <xf numFmtId="166" fontId="5" fillId="3" borderId="2" applyAlignment="1" pivotButton="0" quotePrefix="0" xfId="0">
      <alignment horizontal="center" vertical="center" wrapText="1"/>
    </xf>
    <xf numFmtId="3" fontId="5" fillId="3" borderId="2" applyAlignment="1" pivotButton="0" quotePrefix="0" xfId="0">
      <alignment horizontal="center" vertical="center" wrapText="1"/>
    </xf>
    <xf numFmtId="0" fontId="14" fillId="0" borderId="0" applyAlignment="1" pivotButton="0" quotePrefix="0" xfId="0">
      <alignment horizontal="left" vertical="center" wrapText="1"/>
    </xf>
    <xf numFmtId="0" fontId="7" fillId="3" borderId="2" applyAlignment="1" pivotButton="0" quotePrefix="0" xfId="0">
      <alignment horizontal="left" vertical="center" wrapText="1"/>
    </xf>
    <xf numFmtId="0" fontId="14" fillId="0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0" fontId="7" fillId="10" borderId="0" applyAlignment="1" pivotButton="0" quotePrefix="0" xfId="0">
      <alignment horizontal="left" vertical="top" wrapText="1"/>
    </xf>
    <xf numFmtId="0" fontId="14" fillId="3" borderId="0" applyAlignment="1" pivotButton="0" quotePrefix="0" xfId="0">
      <alignment horizontal="left" vertical="top" wrapText="1"/>
    </xf>
    <xf numFmtId="0" fontId="26" fillId="0" borderId="0" applyAlignment="1" pivotButton="0" quotePrefix="0" xfId="0">
      <alignment horizontal="left" vertical="center" wrapText="1"/>
    </xf>
    <xf numFmtId="0" fontId="0" fillId="0" borderId="0" pivotButton="0" quotePrefix="0" xfId="0"/>
    <xf numFmtId="0" fontId="3" fillId="0" borderId="1" applyAlignment="1" pivotButton="0" quotePrefix="0" xfId="0">
      <alignment horizontal="left" vertical="center" wrapText="1"/>
    </xf>
    <xf numFmtId="0" fontId="7" fillId="6" borderId="2" applyAlignment="1" pivotButton="0" quotePrefix="0" xfId="0">
      <alignment horizontal="left" vertical="top" wrapText="1"/>
    </xf>
    <xf numFmtId="0" fontId="0" fillId="0" borderId="1" pivotButton="0" quotePrefix="0" xfId="0"/>
    <xf numFmtId="0" fontId="7" fillId="3" borderId="3" applyAlignment="1" pivotButton="0" quotePrefix="0" xfId="0">
      <alignment horizontal="left" vertical="top" wrapText="1"/>
    </xf>
    <xf numFmtId="0" fontId="18" fillId="24" borderId="2" applyAlignment="1" pivotButton="0" quotePrefix="0" xfId="0">
      <alignment horizontal="center" vertical="center" wrapText="1"/>
    </xf>
    <xf numFmtId="14" fontId="18" fillId="24" borderId="2" applyAlignment="1" pivotButton="0" quotePrefix="0" xfId="0">
      <alignment horizontal="center" vertical="center" wrapText="1"/>
    </xf>
    <xf numFmtId="165" fontId="6" fillId="25" borderId="2" applyAlignment="1" pivotButton="0" quotePrefix="0" xfId="0">
      <alignment horizontal="center" vertical="center" wrapText="1"/>
    </xf>
    <xf numFmtId="164" fontId="16" fillId="26" borderId="2" applyAlignment="1" pivotButton="0" quotePrefix="0" xfId="0">
      <alignment horizontal="center" vertical="center" wrapText="1"/>
    </xf>
    <xf numFmtId="0" fontId="17" fillId="27" borderId="2" applyAlignment="1" pivotButton="0" quotePrefix="0" xfId="0">
      <alignment horizontal="center" vertical="center" wrapText="1"/>
    </xf>
    <xf numFmtId="14" fontId="18" fillId="27" borderId="2" applyAlignment="1" pivotButton="0" quotePrefix="0" xfId="0">
      <alignment horizontal="center" vertical="center" wrapText="1"/>
    </xf>
    <xf numFmtId="165" fontId="30" fillId="28" borderId="2" applyAlignment="1" pivotButton="0" quotePrefix="0" xfId="0">
      <alignment horizontal="center" vertical="center" wrapText="1"/>
    </xf>
    <xf numFmtId="167" fontId="5" fillId="3" borderId="2" applyAlignment="1" pivotButton="0" quotePrefix="0" xfId="0">
      <alignment horizontal="center" vertical="center" wrapText="1"/>
    </xf>
    <xf numFmtId="166" fontId="5" fillId="3" borderId="2" applyAlignment="1" pivotButton="0" quotePrefix="0" xfId="0">
      <alignment horizontal="center" vertical="center" wrapText="1"/>
    </xf>
    <xf numFmtId="164" fontId="7" fillId="5" borderId="2" applyAlignment="1" pivotButton="0" quotePrefix="0" xfId="0">
      <alignment horizontal="center" vertical="center" wrapText="1"/>
    </xf>
    <xf numFmtId="165" fontId="10" fillId="5" borderId="2" applyAlignment="1" pivotButton="0" quotePrefix="0" xfId="0">
      <alignment horizontal="center" vertical="center" wrapText="1"/>
    </xf>
    <xf numFmtId="165" fontId="7" fillId="5" borderId="2" applyAlignment="1" pivotButton="0" quotePrefix="0" xfId="0">
      <alignment horizontal="center" vertical="center" wrapText="1"/>
    </xf>
    <xf numFmtId="164" fontId="7" fillId="7" borderId="2" applyAlignment="1" pivotButton="0" quotePrefix="0" xfId="0">
      <alignment horizontal="center" vertical="center" wrapText="1"/>
    </xf>
    <xf numFmtId="165" fontId="11" fillId="7" borderId="2" applyAlignment="1" pivotButton="0" quotePrefix="0" xfId="0">
      <alignment horizontal="center" vertical="center" wrapText="1"/>
    </xf>
    <xf numFmtId="165" fontId="7" fillId="7" borderId="2" applyAlignment="1" pivotButton="0" quotePrefix="0" xfId="0">
      <alignment horizontal="center" vertical="center" wrapText="1"/>
    </xf>
    <xf numFmtId="164" fontId="7" fillId="8" borderId="2" applyAlignment="1" pivotButton="0" quotePrefix="0" xfId="0">
      <alignment horizontal="center" vertical="center" wrapText="1"/>
    </xf>
    <xf numFmtId="165" fontId="12" fillId="8" borderId="2" applyAlignment="1" pivotButton="0" quotePrefix="0" xfId="0">
      <alignment horizontal="center" vertical="center" wrapText="1"/>
    </xf>
    <xf numFmtId="164" fontId="6" fillId="8" borderId="2" applyAlignment="1" pivotButton="0" quotePrefix="0" xfId="0">
      <alignment horizontal="center" vertical="center" wrapText="1"/>
    </xf>
    <xf numFmtId="165" fontId="7" fillId="8" borderId="2" applyAlignment="1" pivotButton="0" quotePrefix="0" xfId="0">
      <alignment horizontal="center" vertical="center" wrapText="1"/>
    </xf>
    <xf numFmtId="166" fontId="7" fillId="3" borderId="2" applyAlignment="1" pivotButton="0" quotePrefix="0" xfId="0">
      <alignment horizontal="center" vertical="center" wrapText="1"/>
    </xf>
    <xf numFmtId="166" fontId="9" fillId="8" borderId="2" applyAlignment="1" pivotButton="0" quotePrefix="0" xfId="0">
      <alignment horizontal="center" vertical="center" wrapText="1"/>
    </xf>
    <xf numFmtId="165" fontId="6" fillId="9" borderId="2" applyAlignment="1" pivotButton="0" quotePrefix="0" xfId="0">
      <alignment horizontal="center" vertical="center" wrapText="1"/>
    </xf>
    <xf numFmtId="165" fontId="13" fillId="9" borderId="2" applyAlignment="1" pivotButton="0" quotePrefix="0" xfId="0">
      <alignment horizontal="center" vertical="center" wrapText="1"/>
    </xf>
    <xf numFmtId="165" fontId="7" fillId="0" borderId="0" applyAlignment="1" pivotButton="0" quotePrefix="0" xfId="0">
      <alignment horizontal="center" vertical="center" wrapText="1"/>
    </xf>
    <xf numFmtId="167" fontId="15" fillId="11" borderId="2" applyAlignment="1" pivotButton="0" quotePrefix="0" xfId="0">
      <alignment horizontal="center" vertical="center" wrapText="1"/>
    </xf>
    <xf numFmtId="167" fontId="7" fillId="10" borderId="2" applyAlignment="1" pivotButton="0" quotePrefix="0" xfId="0">
      <alignment horizontal="center" vertical="center" wrapText="1"/>
    </xf>
    <xf numFmtId="164" fontId="6" fillId="10" borderId="2" applyAlignment="1" pivotButton="0" quotePrefix="0" xfId="0">
      <alignment horizontal="center" vertical="center" wrapText="1"/>
    </xf>
    <xf numFmtId="166" fontId="15" fillId="11" borderId="2" applyAlignment="1" pivotButton="0" quotePrefix="0" xfId="0">
      <alignment horizontal="center" vertical="center" wrapText="1"/>
    </xf>
    <xf numFmtId="166" fontId="7" fillId="10" borderId="2" applyAlignment="1" pivotButton="0" quotePrefix="0" xfId="0">
      <alignment horizontal="center" vertical="center" wrapText="1"/>
    </xf>
    <xf numFmtId="166" fontId="7" fillId="5" borderId="2" applyAlignment="1" pivotButton="0" quotePrefix="0" xfId="0">
      <alignment horizontal="center" vertical="center" wrapText="1"/>
    </xf>
    <xf numFmtId="166" fontId="7" fillId="7" borderId="2" applyAlignment="1" pivotButton="0" quotePrefix="0" xfId="0">
      <alignment horizontal="center" vertical="center" wrapText="1"/>
    </xf>
    <xf numFmtId="166" fontId="7" fillId="8" borderId="2" applyAlignment="1" pivotButton="0" quotePrefix="0" xfId="0">
      <alignment horizontal="center" vertical="center" wrapText="1"/>
    </xf>
    <xf numFmtId="164" fontId="16" fillId="13" borderId="2" applyAlignment="1" pivotButton="0" quotePrefix="0" xfId="0">
      <alignment horizontal="center" vertical="center" wrapText="1"/>
    </xf>
    <xf numFmtId="164" fontId="16" fillId="26" borderId="2" applyAlignment="1" pivotButton="0" quotePrefix="0" xfId="0">
      <alignment horizontal="center" vertical="center" wrapText="1"/>
    </xf>
    <xf numFmtId="165" fontId="6" fillId="25" borderId="2" applyAlignment="1" pivotButton="0" quotePrefix="0" xfId="0">
      <alignment horizontal="center" vertical="center" wrapText="1"/>
    </xf>
    <xf numFmtId="165" fontId="21" fillId="9" borderId="2" applyAlignment="1" pivotButton="0" quotePrefix="0" xfId="0">
      <alignment horizontal="center" vertical="center" wrapText="1"/>
    </xf>
    <xf numFmtId="165" fontId="30" fillId="28" borderId="2" applyAlignment="1" pivotButton="0" quotePrefix="0" xfId="0">
      <alignment horizontal="center" vertical="center" wrapText="1"/>
    </xf>
    <xf numFmtId="167" fontId="7" fillId="3" borderId="2" applyAlignment="1" pivotButton="0" quotePrefix="0" xfId="0">
      <alignment horizontal="center" vertical="center" wrapText="1"/>
    </xf>
    <xf numFmtId="164" fontId="6" fillId="3" borderId="2" applyAlignment="1" pivotButton="0" quotePrefix="0" xfId="0">
      <alignment horizontal="center" vertical="center" wrapText="1"/>
    </xf>
    <xf numFmtId="167" fontId="15" fillId="5" borderId="2" applyAlignment="1" pivotButton="0" quotePrefix="0" xfId="0">
      <alignment horizontal="center" vertical="center" wrapText="1"/>
    </xf>
    <xf numFmtId="167" fontId="15" fillId="7" borderId="2" applyAlignment="1" pivotButton="0" quotePrefix="0" xfId="0">
      <alignment horizontal="center" vertical="center" wrapText="1"/>
    </xf>
    <xf numFmtId="167" fontId="15" fillId="8" borderId="2" applyAlignment="1" pivotButton="0" quotePrefix="0" xfId="0">
      <alignment horizontal="center" vertical="center" wrapText="1"/>
    </xf>
    <xf numFmtId="166" fontId="15" fillId="5" borderId="2" applyAlignment="1" pivotButton="0" quotePrefix="0" xfId="0">
      <alignment horizontal="center" vertical="center" wrapText="1"/>
    </xf>
    <xf numFmtId="166" fontId="15" fillId="7" borderId="2" applyAlignment="1" pivotButton="0" quotePrefix="0" xfId="0">
      <alignment horizontal="center" vertical="center" wrapText="1"/>
    </xf>
    <xf numFmtId="166" fontId="15" fillId="8" borderId="2" applyAlignment="1" pivotButton="0" quotePrefix="0" xfId="0">
      <alignment horizontal="center" vertical="center" wrapText="1"/>
    </xf>
    <xf numFmtId="164" fontId="7" fillId="10" borderId="2" applyAlignment="1" pivotButton="0" quotePrefix="0" xfId="0">
      <alignment horizontal="center" vertical="center" wrapText="1"/>
    </xf>
    <xf numFmtId="164" fontId="7" fillId="6" borderId="2" applyAlignment="1" pivotButton="0" quotePrefix="0" xfId="0">
      <alignment horizontal="center" vertical="center" wrapText="1"/>
    </xf>
    <xf numFmtId="167" fontId="22" fillId="10" borderId="2" applyAlignment="1" pivotButton="0" quotePrefix="0" xfId="0">
      <alignment horizontal="center" vertical="center" wrapText="1"/>
    </xf>
    <xf numFmtId="167" fontId="22" fillId="3" borderId="2" applyAlignment="1" pivotButton="0" quotePrefix="0" xfId="0">
      <alignment horizontal="center" vertical="center" wrapText="1"/>
    </xf>
    <xf numFmtId="166" fontId="7" fillId="9" borderId="2" applyAlignment="1" pivotButton="0" quotePrefix="0" xfId="0">
      <alignment horizontal="center" vertical="center" wrapText="1"/>
    </xf>
    <xf numFmtId="164" fontId="6" fillId="9" borderId="2" applyAlignment="1" pivotButton="0" quotePrefix="0" xfId="0">
      <alignment horizontal="center" vertical="center" wrapText="1"/>
    </xf>
    <xf numFmtId="165" fontId="24" fillId="7" borderId="2" applyAlignment="1" pivotButton="0" quotePrefix="0" xfId="0">
      <alignment horizontal="center" vertical="center" wrapText="1"/>
    </xf>
    <xf numFmtId="165" fontId="6" fillId="8" borderId="2" applyAlignment="1" pivotButton="0" quotePrefix="0" xfId="0">
      <alignment horizontal="center" vertical="center" wrapText="1"/>
    </xf>
    <xf numFmtId="165" fontId="8" fillId="14" borderId="2" applyAlignment="1" pivotButton="0" quotePrefix="0" xfId="0">
      <alignment horizontal="center" vertical="center" wrapText="1"/>
    </xf>
    <xf numFmtId="164" fontId="25" fillId="6" borderId="2" applyAlignment="1" pivotButton="0" quotePrefix="0" xfId="0">
      <alignment horizontal="center" vertical="center" wrapText="1"/>
    </xf>
    <xf numFmtId="164" fontId="25" fillId="8" borderId="2" applyAlignment="1" pivotButton="0" quotePrefix="0" xfId="0">
      <alignment horizontal="center" vertical="center" wrapText="1"/>
    </xf>
    <xf numFmtId="164" fontId="8" fillId="14" borderId="2" applyAlignment="1" pivotButton="0" quotePrefix="0" xfId="0">
      <alignment horizontal="center" vertical="center" wrapText="1"/>
    </xf>
    <xf numFmtId="164" fontId="25" fillId="7" borderId="2" applyAlignment="1" pivotButton="0" quotePrefix="0" xfId="0">
      <alignment horizontal="center" vertical="center" wrapText="1"/>
    </xf>
    <xf numFmtId="164" fontId="15" fillId="11" borderId="2" applyAlignment="1" pivotButton="0" quotePrefix="0" xfId="0">
      <alignment horizontal="center" vertical="center" wrapText="1"/>
    </xf>
    <xf numFmtId="166" fontId="6" fillId="5" borderId="2" applyAlignment="1" pivotButton="0" quotePrefix="0" xfId="0">
      <alignment horizontal="center" vertical="center" wrapText="1"/>
    </xf>
    <xf numFmtId="164" fontId="6" fillId="5" borderId="2" applyAlignment="1" pivotButton="0" quotePrefix="0" xfId="0">
      <alignment horizontal="center" vertical="center" wrapText="1"/>
    </xf>
    <xf numFmtId="166" fontId="6" fillId="7" borderId="2" applyAlignment="1" pivotButton="0" quotePrefix="0" xfId="0">
      <alignment horizontal="center" vertical="center" wrapText="1"/>
    </xf>
    <xf numFmtId="164" fontId="6" fillId="7" borderId="2" applyAlignment="1" pivotButton="0" quotePrefix="0" xfId="0">
      <alignment horizontal="center" vertical="center" wrapText="1"/>
    </xf>
    <xf numFmtId="166" fontId="6" fillId="8" borderId="2" applyAlignment="1" pivotButton="0" quotePrefix="0" xfId="0">
      <alignment horizontal="center" vertical="center" wrapText="1"/>
    </xf>
    <xf numFmtId="166" fontId="22" fillId="3" borderId="2" applyAlignment="1" pivotButton="0" quotePrefix="0" xfId="0">
      <alignment horizontal="center" vertical="center" wrapText="1"/>
    </xf>
    <xf numFmtId="166" fontId="22" fillId="5" borderId="2" applyAlignment="1" pivotButton="0" quotePrefix="0" xfId="0">
      <alignment horizontal="center" vertical="center" wrapText="1"/>
    </xf>
    <xf numFmtId="165" fontId="7" fillId="3" borderId="2" applyAlignment="1" pivotButton="0" quotePrefix="0" xfId="0">
      <alignment horizontal="center" vertical="center" wrapText="1"/>
    </xf>
    <xf numFmtId="165" fontId="7" fillId="10" borderId="2" applyAlignment="1" pivotButton="0" quotePrefix="0" xfId="0">
      <alignment horizontal="center" vertical="center" wrapText="1"/>
    </xf>
    <xf numFmtId="165" fontId="9" fillId="10" borderId="2" applyAlignment="1" pivotButton="0" quotePrefix="0" xfId="0">
      <alignment horizontal="center" vertical="center" wrapText="1"/>
    </xf>
    <xf numFmtId="166" fontId="22" fillId="7" borderId="2" applyAlignment="1" pivotButton="0" quotePrefix="0" xfId="0">
      <alignment horizontal="center" vertical="center" wrapText="1"/>
    </xf>
    <xf numFmtId="166" fontId="22" fillId="8" borderId="2" applyAlignment="1" pivotButton="0" quotePrefix="0" xfId="0">
      <alignment horizontal="center" vertical="center" wrapText="1"/>
    </xf>
    <xf numFmtId="166" fontId="16" fillId="13" borderId="2" applyAlignment="1" pivotButton="0" quotePrefix="0" xfId="0">
      <alignment horizontal="center" vertical="center" wrapText="1"/>
    </xf>
    <xf numFmtId="164" fontId="16" fillId="12" borderId="2" applyAlignment="1" pivotButton="0" quotePrefix="0" xfId="0">
      <alignment horizontal="center" vertical="center" wrapText="1"/>
    </xf>
    <xf numFmtId="166" fontId="7" fillId="12" borderId="2" applyAlignment="1" pivotButton="0" quotePrefix="0" xfId="0">
      <alignment horizontal="center" vertical="center" wrapText="1"/>
    </xf>
    <xf numFmtId="165" fontId="27" fillId="10" borderId="2" applyAlignment="1" pivotButton="0" quotePrefix="0" xfId="0">
      <alignment horizontal="center" vertical="center" wrapText="1"/>
    </xf>
    <xf numFmtId="165" fontId="7" fillId="21" borderId="2" applyAlignment="1" pivotButton="0" quotePrefix="0" xfId="0">
      <alignment horizontal="center" vertical="center" wrapText="1"/>
    </xf>
    <xf numFmtId="165" fontId="28" fillId="21" borderId="2" applyAlignment="1" pivotButton="0" quotePrefix="0" xfId="0">
      <alignment horizontal="center" vertical="center" wrapText="1"/>
    </xf>
  </cellXfs>
  <cellStyles count="1">
    <cellStyle name="Normální" xfId="0" builtinId="0"/>
  </cellStyle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3E0"/>
      <rgbColor rgb="FFFF00FF"/>
      <rgbColor rgb="FF00FFFF"/>
      <rgbColor rgb="FFD32F2F"/>
      <rgbColor rgb="FF008000"/>
      <rgbColor rgb="FF000080"/>
      <rgbColor rgb="FFCC6600"/>
      <rgbColor rgb="FF880E4F"/>
      <rgbColor rgb="FF00695C"/>
      <rgbColor rgb="FFBFBFBF"/>
      <rgbColor rgb="FF808080"/>
      <rgbColor rgb="FFD6E4F0"/>
      <rgbColor rgb="FF795548"/>
      <rgbColor rgb="FFFFF9C4"/>
      <rgbColor rgb="FFE0F2F1"/>
      <rgbColor rgb="FF4A148C"/>
      <rgbColor rgb="FFF3E5F5"/>
      <rgbColor rgb="FF1565C0"/>
      <rgbColor rgb="FFD9D9D9"/>
      <rgbColor rgb="FF000080"/>
      <rgbColor rgb="FFFF00FF"/>
      <rgbColor rgb="FFE8F5E9"/>
      <rgbColor rgb="FF00FFFF"/>
      <rgbColor rgb="FF7B1FA2"/>
      <rgbColor rgb="FF800000"/>
      <rgbColor rgb="FF2E7D32"/>
      <rgbColor rgb="FF0000FF"/>
      <rgbColor rgb="FF00CCFF"/>
      <rgbColor rgb="FFE3F2FD"/>
      <rgbColor rgb="FFC8E6C9"/>
      <rgbColor rgb="FFFFF2CC"/>
      <rgbColor rgb="FFB2DFDB"/>
      <rgbColor rgb="FFFFCDD2"/>
      <rgbColor rgb="FFE1BEE7"/>
      <rgbColor rgb="FFFFE0B2"/>
      <rgbColor rgb="FF607D8B"/>
      <rgbColor rgb="FFFFEBEE"/>
      <rgbColor rgb="FFF2F2F2"/>
      <rgbColor rgb="FFFCE4EC"/>
      <rgbColor rgb="FFE65100"/>
      <rgbColor rgb="FFFF6F00"/>
      <rgbColor rgb="FF666666"/>
      <rgbColor rgb="FF878787"/>
      <rgbColor rgb="FF0D47A1"/>
      <rgbColor rgb="FF4CAF50"/>
      <rgbColor rgb="FF006400"/>
      <rgbColor rgb="FF333300"/>
      <rgbColor rgb="FF8B4513"/>
      <rgbColor rgb="FFB71C1C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styles" Target="styles.xml" Id="rId18"/><Relationship Type="http://schemas.openxmlformats.org/officeDocument/2006/relationships/theme" Target="theme/theme1.xml" Id="rId19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lang="cs-CZ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cs-CZ" sz="1800" b="1" strike="noStrike" spc="-1">
                <a:solidFill>
                  <a:srgbClr val="000000"/>
                </a:solidFill>
                <a:latin typeface="Calibri"/>
              </a:rPr>
              <a:t>Krizový scénář – Finanční dopad 6M dle materiálu (EUR)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CC0000"/>
            </a:solidFill>
            <a:ln xmlns:a="http://schemas.openxmlformats.org/drawingml/2006/main" w="9360">
              <a:solidFill>
                <a:srgbClr val="CC0000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/>
                </a:r>
                <a:endParaRPr lang="cs-CZ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Exec_Summary!$B$33:$L$33</f>
              <strCache>
                <ptCount val="11"/>
                <pt idx="0">
                  <v>Butyl</v>
                </pt>
                <pt idx="1">
                  <v>IGK</v>
                </pt>
                <pt idx="2">
                  <v>Sika A</v>
                </pt>
                <pt idx="3">
                  <v>Sika B</v>
                </pt>
                <pt idx="4">
                  <v>Ph.555</v>
                </pt>
                <pt idx="5">
                  <v>Ph.551</v>
                </pt>
                <pt idx="6">
                  <v>SW 14</v>
                </pt>
                <pt idx="7">
                  <v>SW 16</v>
                </pt>
                <pt idx="8">
                  <v>SW 18</v>
                </pt>
                <pt idx="9">
                  <v>Planic.</v>
                </pt>
                <pt idx="10">
                  <v>Planith.</v>
                </pt>
              </strCache>
            </strRef>
          </cat>
          <val>
            <numRef>
              <f>Exec_Summary!$B$34:$L$34</f>
              <numCache>
                <formatCode>#\ ##0" €"</formatCode>
                <ptCount val="11"/>
                <pt idx="0">
                  <v>3228</v>
                </pt>
                <pt idx="1">
                  <v>1678</v>
                </pt>
                <pt idx="2">
                  <v>3578</v>
                </pt>
                <pt idx="3">
                  <v>1366</v>
                </pt>
                <pt idx="4">
                  <v>1389</v>
                </pt>
                <pt idx="5">
                  <v>463</v>
                </pt>
                <pt idx="6">
                  <v>1454</v>
                </pt>
                <pt idx="7">
                  <v>898</v>
                </pt>
                <pt idx="8">
                  <v>691</v>
                </pt>
                <pt idx="9">
                  <v>53863</v>
                </pt>
                <pt idx="10">
                  <v>53679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75156442"/>
        <axId val="60232746"/>
      </barChart>
      <catAx>
        <axId val="75156442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/>
            </a:r>
            <a:endParaRPr lang="cs-CZ"/>
          </a:p>
        </txPr>
        <crossAx val="60232746"/>
        <crosses val="autoZero"/>
        <auto val="1"/>
        <lblAlgn val="ctr"/>
        <lblOffset val="100"/>
        <noMultiLvlLbl val="0"/>
      </catAx>
      <valAx>
        <axId val="6023274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lang="cs-CZ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cs-CZ" sz="1000" b="1" strike="noStrike" spc="-1">
                    <a:solidFill>
                      <a:srgbClr val="000000"/>
                    </a:solidFill>
                    <a:latin typeface="Calibri"/>
                  </a:rPr>
                  <a:t>EUR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#\ ##0&quot; €&quot;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/>
            </a:r>
            <a:endParaRPr lang="cs-CZ"/>
          </a:p>
        </txPr>
        <crossAx val="75156442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omments/comment1.xml><?xml version="1.0" encoding="utf-8"?>
<comments xmlns="http://schemas.openxmlformats.org/spreadsheetml/2006/main">
  <authors>
    <author>Unknown Author</author>
  </authors>
  <commentList>
    <comment ref="F14" authorId="0" shapeId="0">
      <text>
        <t>MÍRNÝ SCÉNÁŘ (30% pass-through)
Dodavatel absorbuje 70 % zdražení energií.
Typické pro: krátké cenové šoky, dodavatele s hedgingem.</t>
      </text>
    </comment>
    <comment ref="G14" authorId="0" shapeId="0">
      <text>
        <t>STŘEDNÍ SCÉNÁŘ (50% pass-through)
Dodavatel promítne polovinu zdražení.
Typické pro: situaci trvající 2–3 měsíce.</t>
      </text>
    </comment>
    <comment ref="H14" authorId="0" shapeId="0">
      <text>
        <t>KRIZOVÝ SCÉNÁŘ (75% pass-through)
Dodavatel promítne většinu zdražení.
Typické pro: dlouhodobý růst 3+ měsíců, vyčerpané fixace.</t>
      </text>
    </comment>
  </commentList>
</comments>
</file>

<file path=xl/comments/comment10.xml><?xml version="1.0" encoding="utf-8"?>
<comments xmlns="http://schemas.openxmlformats.org/spreadsheetml/2006/main">
  <authors>
    <author>Unknown Author</author>
  </authors>
  <commentList>
    <comment ref="C6" authorId="0" shapeId="0">
      <text>
        <t>ZÁVISLOST NA ROPĚ: 25 %
Zdůvodnění:
• Keramické barvy na sklo se skládají z anorganických kovových oxidů (Fe₂O₃, CoO, Cr₂O₃, CuO) a skelné frity – žádná z těchto surovin nepochází z ropy.
• Ropa vstupuje pouze nepřímo: organická média (oleje, pryskyřice) pro přípravu tiskové pasty, transport těžkých sudů, plastové balení.
• U sítotiskových past tvoří organické médium 15–25 % hmotnosti – to je hlavní ropný vstup.
• Nejnižší závislost na ropě ze všech materiálů v modelu (spolu se sklem a zeolity).</t>
      </text>
    </comment>
    <comment ref="C7" authorId="0" shapeId="0">
      <text>
        <t>ZÁVISLOST NA PLYNU: 75 %
Zdůvodnění:
• Skelná frita (základ keramické barvy) se vyrábí tavením směsi oxidů při 1000–1200 °C v plynových pecích.
• Kalcinace kovových oxidů probíhá při 500–900 °C – opět plynové pece.
• Sušení a mletí pigmentů vyžadují tepelnou energii.
• Výpal barvy na skle probíhá při 600–700 °C v kalicích pecích – u zákazníka, ale cena frity odráží energii výrobce.
• Velmi vysoká závislost na plynu (75 %) – srovnatelná se sklem a zeolity, protože jde o vysokoteplotní keramický proces.</t>
      </text>
    </comment>
    <comment ref="C8" authorId="0" shapeId="0">
      <text>
        <t>PODÍL ENERGETICKÝCH NÁKLADŮ: 40 %
Zdůvodnění:
• Výroba skelné frity je extrémně energeticky náročná (tavení při &gt;1000 °C).
• Kovové oxidy (pigmenty) procházejí kalcinací – další vysokoteplotní krok.
• Mletí na jemný prášek (&lt; 10 μm) spotřebovává elektrickou energii.
• Drahé suroviny (kobalt, chrom) tvoří významnou část ceny, ale energie je stále ~40 %.
• Pozn.: U GDS jako distributora může být energetický podíl nižší (marže distributora), ale model kalkuluje s výrobními náklady.</t>
      </text>
    </comment>
  </commentList>
</comments>
</file>

<file path=xl/comments/comment11.xml><?xml version="1.0" encoding="utf-8"?>
<comments xmlns="http://schemas.openxmlformats.org/spreadsheetml/2006/main">
  <authors>
    <author>Unknown Author</author>
  </authors>
  <commentList>
    <comment ref="B13" authorId="0" shapeId="0">
      <text>
        <t>PASS-THROUGH RATE (Míra promítnutí)
Udává, kolik procent ze zdražení vstupních energií dodavatel reálně promítne do prodejní ceny materiálu.
• 30 % (Mírný) – dodavatel má dlouhodobé fixace energií, zásoby surovin za staré ceny, nebo absorbuje část zdražení z marže.
• 50 % (Střední) – dodavatel promítne zhruba polovinu. Typické po 2–3 měsících trvání vysokých cen, kdy se vyčerpávají zásoby.
• 75 % (Krizový) – dodavatel promítne většinu zdražení. Nastává při dlouhodobém růstu (3+ měsíců), kdy dodavatel nemá jinou možnost.
Proč ne 100 %? Energie nejsou jediný náklad – ve výrobní ceně jsou i mzdy, odpisy, režie a marže dodavatele, které se nemění s cenou ropy/plynu. Proto i při plném promítnutí energetického zdražení je reálný dopad na cenu nižší než samotný růst energií.</t>
      </text>
    </comment>
  </commentList>
</comments>
</file>

<file path=xl/comments/comment2.xml><?xml version="1.0" encoding="utf-8"?>
<comments xmlns="http://schemas.openxmlformats.org/spreadsheetml/2006/main">
  <authors>
    <author>Unknown Author</author>
  </authors>
  <commentList>
    <comment ref="C6" authorId="0" shapeId="0">
      <text>
        <t>ZÁVISLOST NA ROPĚ: 70 %
Zdůvodnění:
• Hlavní surovina – polyisobuten (PIB) – je přímý petrochemický derivát. Isobuten se získává krakováním ropných frakcí v rafinériích.
• Bez ropy jako suroviny nelze PIB vyrobit – neexistuje komerčně dostupná alternativní výrobní cesta.
• Transport surovin i hotového produktu je rovněž závislý na ropě (pohonné hmoty).
• Odhad 70 % vychází z typického rozložení nákladů v petrochemickém průmyslu, kde surovina tvoří dominantní nákladovou položku.</t>
      </text>
    </comment>
    <comment ref="C7" authorId="0" shapeId="0">
      <text>
        <t>ZÁVISLOST NA PLYNU: 30 %
Zdůvodnění:
• Zemní plyn se používá jako zdroj tepla v polymeračních reaktorech (udržování teploty 50–100 °C).
• Sušicí a formovací procesy vyžadují teplo z plynových hořáků.
• Část elektřiny v evropských závodech pochází z plynových elektráren.
• Plyn není surovina pro butyl – slouží jen jako energetický zdroj, proto nižší podíl.</t>
      </text>
    </comment>
    <comment ref="C8" authorId="0" shapeId="0">
      <text>
        <t>PODÍL ENERGETICKÝCH NÁKLADŮ: 35 %
Zdůvodnění:
• Petrochemická výroba je obecně energeticky náročná – běžně se uvádí 30–40 % výrobní ceny.
• U butylových tmelů je podíl mírně vyšší díky energeticky náročné polymeraci a zpracování PIB.
• Zbylých 65 % tvoří: mzdy, odpisy zařízení, plniva (CaCO₃, saze), balení, logistika, marže.
• Hodnota 35 % je konzervativní odhad – u některých výrobců může být 30–40 %.</t>
      </text>
    </comment>
  </commentList>
</comments>
</file>

<file path=xl/comments/comment3.xml><?xml version="1.0" encoding="utf-8"?>
<comments xmlns="http://schemas.openxmlformats.org/spreadsheetml/2006/main">
  <authors>
    <author>Unknown Author</author>
  </authors>
  <commentList>
    <comment ref="C6" authorId="0" shapeId="0">
      <text>
        <t>ZÁVISLOST NA ROPĚ: 55 %
Zdůvodnění:
• Složka A (polysulfidová pryskyřice) se vyrábí z ethylenchloridu – přímý petrochemický produkt z ethylenu.
• Ethylen je základní stavební kámen petrochemie, získávaný steam krakováním nafty nebo ethanu.
• Další petrochemické vstupy: změkčovadla, adhezní přísady.
• Složka B (tvrdidlo) obsahuje anorganické složky (MnO₂, PbO₂) – ty na ropě závislé nejsou → snižuje celkovou závislost.
• Proto 55 %, nikoli 70 % jako u čistě petrochemických produktů.</t>
      </text>
    </comment>
    <comment ref="C7" authorId="0" shapeId="0">
      <text>
        <t>ZÁVISLOST NA PLYNU: 45 %
Zdůvodnění:
• Chemické reaktory pro polykondenzaci vyžadují přesné řízení teploty – vytápění plynem.
• Destilační procesy při čištění polysulfidu spotřebovávají velké množství tepla.
• Sušení a granulace tvrdidla (složka B) probíhá v plynových sušárnách.
• Vyšší podíl plynu než u butylů, protože výroba zahrnuje více energeticky náročných chemických kroků.</t>
      </text>
    </comment>
    <comment ref="C8" authorId="0" shapeId="0">
      <text>
        <t>PODÍL ENERGETICKÝCH NÁKLADŮ: 30 %
Zdůvodnění:
• Polysulfidové tmely mají relativně jednoduchou výrobní technologii ve srovnání s butylema.
• Nižší teploty procesů (80–120 °C vs. 150+ °C u některých polymerů).
• Významnou část ceny tvoří drahé anorganické tvrdidlo a specializované plniva.
• 30 % je konzervativní odhad pro dvousložkové chemické systémy.</t>
      </text>
    </comment>
  </commentList>
</comments>
</file>

<file path=xl/comments/comment4.xml><?xml version="1.0" encoding="utf-8"?>
<comments xmlns="http://schemas.openxmlformats.org/spreadsheetml/2006/main">
  <authors>
    <author>Unknown Author</author>
  </authors>
  <commentList>
    <comment ref="C6" authorId="0" shapeId="0">
      <text>
        <t>ZÁVISLOST NA ROPĚ: 55 %
Zdůvodnění:
• GD 116NA je dvousložkový polysulfidový tmel – chemicky příbuzný IGK 130.
• Složka A (polysulfidová pryskyřice): vyrábí se z ethylenchloridu (petrochemie) a síranu sodného.
• Ethylenchlorid pochází z ethylenu – přímý produkt krakování ropy.
• Změkčovadla a plniva mohou obsahovat další ropné deriváty (ftaláty, parafíny).
• Složka B (tvrdidlo): obsahuje MnO₂ nebo PbO₂ – anorganické, na ropě nezávislé.
• Celková závislost 55 % – stejná jako u IGK 130, protože jde o stejný typ chemie (polysulfid).</t>
      </text>
    </comment>
    <comment ref="C7" authorId="0" shapeId="0">
      <text>
        <t>ZÁVISLOST NA PLYNU: 45 %
Zdůvodnění:
• Polykondenzační reakce vyžaduje řízení teploty – plynové ohřevy reaktorů.
• Destilace a čištění polysulfidové pryskyřice – energeticky náročné.
• Sušení a granulace tvrdidla (složka B) v plynových sušárnách.
• Míchání a homogenizace velkých šarží (190l sudy) – elektrická energie.
• Srovnatelná s IGK 130 (45 %) – stejný výrobní princip.</t>
      </text>
    </comment>
    <comment ref="C8" authorId="0" shapeId="0">
      <text>
        <t>PODÍL ENERGETICKÝCH NÁKLADŮ: 30 %
Zdůvodnění:
• Polysulfidové tmely mají relativně jednoduchou výrobní technologii.
• Nižší procesní teploty (80–120 °C) než u butylů nebo zeolitů.
• Významnou část ceny tvoří drahé tvrdidlo (MnO₂) a speciální plniva.
• 30 % je konzervativní odhad, shodný s IGK 130 – stejná výrobní platforma.</t>
      </text>
    </comment>
  </commentList>
</comments>
</file>

<file path=xl/comments/comment5.xml><?xml version="1.0" encoding="utf-8"?>
<comments xmlns="http://schemas.openxmlformats.org/spreadsheetml/2006/main">
  <authors>
    <author>Unknown Author</author>
  </authors>
  <commentList>
    <comment ref="C6" authorId="0" shapeId="0">
      <text>
        <t>ZÁVISLOST NA ROPĚ: 40 %
Zdůvodnění:
• Silikonový polymer (PDMS) je primárně založen na křemíku, nikoli na ropě.
• Ropa vstupuje nepřímo: methanol (klíčový prekurzor) se vyrábí buď ze zemního plynu NEBO z ropy.
• Chlormethylace křemíku (Müllerův-Rochowův proces) vyžaduje methylchlorid – ten může pocházet z methanolu.
• Transport surovin (křemenný písek, hotové produkty) závisí na ropě.
• Nižší závislost (40 %) než u čistě petrochemických produktů, protože hlavní surovina je anorganická.</t>
      </text>
    </comment>
    <comment ref="C7" authorId="0" shapeId="0">
      <text>
        <t>ZÁVISLOST NA PLYNU: 60 %
Zdůvodnění:
• Methanol – klíčový prekurzor pro výrobu methylchloridu – se v Evropě primárně vyrábí ze zemního plynu (syntézní plyn H₂+CO).
• Redukce křemenného písku na čistý křemík probíhá v elektrických obloukových pecích při &gt;1800 °C – elektřina v EU částečně z plynu.
• Hydrolýza a polykondenzace dimethyldichlorsilanu vyžadují tepelnou energii.
• Proto silikon má vyšší závislost na plynu (60 %) než na ropě.</t>
      </text>
    </comment>
    <comment ref="C8" authorId="0" shapeId="0">
      <text>
        <t>PODÍL ENERGETICKÝCH NÁKLADŮ: 30 %
Zdůvodnění:
• Výroba silikonu je energeticky náročná (vysokoteplotní redukce křemíku), ale hlavní nákladovou položkou je samotný křemíkový kov.
• U hotového silikonového tmelu je podíl nižší, protože obsahuje plniva (CaCO₃, SiO₂), adheziva a balení.
• 30 % odpovídá běžným odhadům pro silikonový průmysl v Evropě (zdroj: CEFIC Energy Factsheet).</t>
      </text>
    </comment>
  </commentList>
</comments>
</file>

<file path=xl/comments/comment6.xml><?xml version="1.0" encoding="utf-8"?>
<comments xmlns="http://schemas.openxmlformats.org/spreadsheetml/2006/main">
  <authors>
    <author>Unknown Author</author>
  </authors>
  <commentList>
    <comment ref="C6" authorId="0" shapeId="0">
      <text>
        <t>ZÁVISLOST NA ROPĚ: 30 %
Zdůvodnění:
• Zeolity (molekulová síta) jsou anorganické materiály – surovina (hydroxid sodný, hlinitan sodný, křemičitan sodný) NENÍ z ropy.
• Ropa ovlivňuje pouze: transport surovin a hotových produktů, výrobu plastových obalů.
• Některé pomocné chemikálie (dispergátory) mohou být petrochemického původu.
• Nízká závislost (30 %) – zeolity jsou primárně anorganický minerální produkt.</t>
      </text>
    </comment>
    <comment ref="C7" authorId="0" shapeId="0">
      <text>
        <t>ZÁVISLOST NA PLYNU: 70 %
Zdůvodnění:
• KALCINACE je klíčový výrobní krok – výpal zeolitu při 500–700 °C v plynových pecích po dobu několika hodin.
• Sušení aktivovaného zeolitu vyžaduje teploty 200–350 °C – opět plynové sušárny.
• Hydrotermální syntéza zeolitů probíhá při 80–200 °C v autoklávu – vytápěno plynem.
• Molekulová síta mají NEJVYŠŠÍ závislost na plynu ze všech materiálů v modelu (spolu se sklem), protože celý proces je tepelně řízený.</t>
      </text>
    </comment>
    <comment ref="C8" authorId="0" shapeId="0">
      <text>
        <t>PODÍL ENERGETICKÝCH NÁKLADŮ: 40 %
Zdůvodnění:
• Výroba zeolitů je jeden z nejenergeticky náročnějších procesů v chemii stavebních materiálů.
• Kalcinace + aktivace + sušení = 3 energeticky náročné kroky v řadě za sebou.
• Suroviny (NaOH, Na₂SiO₃) jsou relativně levné → energie tvoří vyšší podíl celkových nákladů.
• 40 % je vyšší než u ostatních materiálů – odpovídá publikovaným datům o energetické náročnosti zeolitové výroby.</t>
      </text>
    </comment>
  </commentList>
</comments>
</file>

<file path=xl/comments/comment7.xml><?xml version="1.0" encoding="utf-8"?>
<comments xmlns="http://schemas.openxmlformats.org/spreadsheetml/2006/main">
  <authors>
    <author>Unknown Author</author>
  </authors>
  <commentList>
    <comment ref="C6" authorId="0" shapeId="0">
      <text>
        <t>ZÁVISLOST NA ROPĚ: 50 %
Zdůvodnění:
• Polypropylen (PP) – hlavní plastová složka rámečku – je přímý petrochemický derivát z propylenu.
• Propylen se získává krakováním ropných frakcí nebo dehydrogenací propanu.
• Minerální plniva (pro zlepšení tepelné izolace) nejsou ropného původu → snižuje celkovou závislost.
• Nerezová ocelová výztuž závisí na ropě jen nepřímo (transport, těžba rud).
• Vyrovnaný poměr 50/50 odráží hybridní konstrukci (plast + kov).</t>
      </text>
    </comment>
    <comment ref="C7" authorId="0" shapeId="0">
      <text>
        <t>ZÁVISLOST NA PLYNU: 50 %
Zdůvodnění:
• Extruze polypropylenu probíhá při 200–260 °C – elektrická energie, částečně z plynu.
• Výroba nerezové ocelové pásky probíhá v elektrických obloukových pecích – vysoká spotřeba elektřiny.
• Tavení a válcování oceli jsou jedny z nejvíce energeticky náročných průmyslových procesů.
• Proto plyn (přes elektřinu) tvoří vyrovnaných 50 % – kombinace zpracování plastu a kovu.</t>
      </text>
    </comment>
    <comment ref="C8" authorId="0" shapeId="0">
      <text>
        <t>PODÍL ENERGETICKÝCH NÁKLADŮ: 30 %
Zdůvodnění:
• Swisspacer je kompozitní produkt – významnou část ceny tvoří samotné suroviny (PP granulát, nerezový pás) a montáž.
• Přesné technologie (extruze s vložkou) vyžadují drahé výrobní linky → vysoké odpisy.
• Energie tvoří menší podíl než u objemových produktů (sklo, zeolity).
• 30 % je středně konzervativní odhad pro kompozitní stavební komponenty.</t>
      </text>
    </comment>
  </commentList>
</comments>
</file>

<file path=xl/comments/comment8.xml><?xml version="1.0" encoding="utf-8"?>
<comments xmlns="http://schemas.openxmlformats.org/spreadsheetml/2006/main">
  <authors>
    <author>Unknown Author</author>
  </authors>
  <commentList>
    <comment ref="C6" authorId="0" shapeId="0">
      <text>
        <t>ZÁVISLOST NA ROPĚ: 15 %
Zdůvodnění:
• Float sklo se vyrábí z ANORGANICKÝCH surovin (křemenný písek, soda, vápenec, dolomit) – žádná z nich nepochází z ropy.
• Ropa vstupuje pouze: transport surovin a hotových tabulí (sklo je těžké!), pomocné materiály (oleje, maziva).
• U Planitherm XN: magnetronové targets (kovy) jsou anorganické.
• Nejnižší závislost na ropě ze všech materiálů v modelu (15 %) – sklo je v podstatě tavený písek.</t>
      </text>
    </comment>
    <comment ref="C7" authorId="0" shapeId="0">
      <text>
        <t>ZÁVISLOST NA PLYNU: 85 %
Zdůvodnění:
• Vanové pece pro float sklo běží NEPŘETRŽITĚ 24/7 při teplotě ~1600 °C a jsou vytápěny téměř výhradně zemním plynem.
• Jedna vanová pec spotřebuje 15 000–25 000 m³ plynu DENNĚ.
• Pec nelze vypnout – její životnost je 12–18 let a přerušení provozu ji zničí.
• Chlazení (lehr) a řezání vyžadují méně energie, ale stále je to plyn/elektřina.
• U Planitherm XN: vakuové komory pro magnetronové pokovení (sputtering) spotřebovávají elektřinu, ale základní tavení je plyn.
• 85 % je v souladu s údaji Glass Alliance Europe – plyn tvoří 75–90 % energetických nákladů sklářského průmyslu.</t>
      </text>
    </comment>
    <comment ref="C8" authorId="0" shapeId="0">
      <text>
        <t>PODÍL ENERGETICKÝCH NÁKLADŮ: 45 %
Zdůvodnění:
• NEJVYŠŠÍ podíl ze všech materiálů v modelu.
• Sklářský průmysl je klasifikován jako energeticky intenzivní odvětví (EU ETS sektor).
• Glass Alliance Europe uvádí, že energie tvoří 25–35 % celkových výrobních nákladů plochého skla.
• U float skla s pokovením (Planitherm) je podíl vyšší kvůli vakuovým procesům.
• Naše hodnota 45 % je na horní hranici a zahrnuje i energetickou náročnost pokovení.
• Zbytek (55 %) tvoří: suroviny (písek, soda), mzdy, údržba pece, odpisy, řezání, balení, logistika.</t>
      </text>
    </comment>
  </commentList>
</comments>
</file>

<file path=xl/comments/comment9.xml><?xml version="1.0" encoding="utf-8"?>
<comments xmlns="http://schemas.openxmlformats.org/spreadsheetml/2006/main">
  <authors>
    <author>Unknown Author</author>
  </authors>
  <commentList>
    <comment ref="C6" authorId="0" shapeId="0">
      <text>
        <t>ZÁVISLOST NA ROPĚ: 60 %
Zdůvodnění:
• PVB pryskyřice se vyrábí z polyvinylalkoholu (PVA) a butyraldehydu – oba jsou petrochemické deriváty.
• Butyraldehyd se získává hydroformylací propylenu (oxo-proces) – propylen je přímý ropný produkt.
• PVA se vyrábí z vinylacetátu (VAM), který pochází z ethylenu a kyseliny octové – ethylen z krakování ropy.
• Změkčovadla (3GO – triethylenglykoldi-2-ethylhexanoát) jsou rovněž petrochemického původu.
• Transport fólií (těžké role) závisí na cenách pohonných hmot.
• Vyšší závislost na ropě (60 %) než u silikonů, srovnatelná s butylem – klíčové suroviny jsou z ropy.</t>
      </text>
    </comment>
    <comment ref="C7" authorId="0" shapeId="0">
      <text>
        <t>ZÁVISLOST NA PLYNU: 40 %
Zdůvodnění:
• Extruze PVB fólie probíhá při 150–200 °C – významná spotřeba elektrické energie, částečně z plynu.
• Sušení PVB pryskyřice před extruzí vyžaduje teplo z plynových sušáren.
• Acetalizační reakce (PVA + butyraldehyd) probíhá ve vodním prostředí při řízené teplotě – vytápění plynem.
• Methanol (vedlejší produkt/rozpouštědlo) se v Evropě vyrábí převážně ze zemního plynu.
• Nižší závislost na plynu (40 %) než u zeolitů nebo skla, protože hlavní nákladovou složkou jsou suroviny, ne teplo.</t>
      </text>
    </comment>
    <comment ref="C8" authorId="0" shapeId="0">
      <text>
        <t>PODÍL ENERGETICKÝCH NÁKLADŮ: 35 %
Zdůvodnění:
• PVB výroba je typický petrochemický proces – suroviny (PVA, butyraldehyd, změkčovadla) tvoří dominantní nákladovou položku.
• Extruze fólie je energeticky náročná (tavení, chlazení, řezání), ale méně než např. tavení skla.
• 35 % odpovídá běžným hodnotám pro petrochemické fóliové produkty (zdroj: CEFIC, PlasticsEurope).
• Zbytek (65 %) tvoří: suroviny, odpisy extruzních linek, balení, kvalitní kontrola (optické vlastnosti), logistika.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twoCellAnchor editAs="oneCell">
    <from>
      <col>1</col>
      <colOff>28440</colOff>
      <row>34</row>
      <rowOff>133920</rowOff>
    </from>
    <to>
      <col>8</col>
      <colOff>378720</colOff>
      <row>61</row>
      <rowOff>77400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10.xml.rels><Relationships xmlns="http://schemas.openxmlformats.org/package/2006/relationships"><Relationship Type="http://schemas.openxmlformats.org/officeDocument/2006/relationships/comments" Target="/xl/comments/comment6.xml" Id="comments"/><Relationship Type="http://schemas.openxmlformats.org/officeDocument/2006/relationships/vmlDrawing" Target="/xl/drawings/commentsDrawing6.vml" Id="anysvml"/></Relationships>
</file>

<file path=xl/worksheets/_rels/sheet11.xml.rels><Relationships xmlns="http://schemas.openxmlformats.org/package/2006/relationships"><Relationship Type="http://schemas.openxmlformats.org/officeDocument/2006/relationships/comments" Target="/xl/comments/comment7.xml" Id="comments"/><Relationship Type="http://schemas.openxmlformats.org/officeDocument/2006/relationships/vmlDrawing" Target="/xl/drawings/commentsDrawing7.vml" Id="anysvml"/></Relationships>
</file>

<file path=xl/worksheets/_rels/sheet12.xml.rels><Relationships xmlns="http://schemas.openxmlformats.org/package/2006/relationships"><Relationship Type="http://schemas.openxmlformats.org/officeDocument/2006/relationships/comments" Target="/xl/comments/comment8.xml" Id="comments"/><Relationship Type="http://schemas.openxmlformats.org/officeDocument/2006/relationships/vmlDrawing" Target="/xl/drawings/commentsDrawing8.vml" Id="anysvml"/></Relationships>
</file>

<file path=xl/worksheets/_rels/sheet13.xml.rels><Relationships xmlns="http://schemas.openxmlformats.org/package/2006/relationships"><Relationship Type="http://schemas.openxmlformats.org/officeDocument/2006/relationships/comments" Target="/xl/comments/comment9.xml" Id="comments"/><Relationship Type="http://schemas.openxmlformats.org/officeDocument/2006/relationships/vmlDrawing" Target="/xl/drawings/commentsDrawing9.vml" Id="anysvml"/></Relationships>
</file>

<file path=xl/worksheets/_rels/sheet14.xml.rels><Relationships xmlns="http://schemas.openxmlformats.org/package/2006/relationships"><Relationship Type="http://schemas.openxmlformats.org/officeDocument/2006/relationships/comments" Target="/xl/comments/comment10.xml" Id="comments"/><Relationship Type="http://schemas.openxmlformats.org/officeDocument/2006/relationships/vmlDrawing" Target="/xl/drawings/commentsDrawing10.vml" Id="anysvml"/></Relationships>
</file>

<file path=xl/worksheets/_rels/sheet17.xml.rels><Relationships xmlns="http://schemas.openxmlformats.org/package/2006/relationships"><Relationship Type="http://schemas.openxmlformats.org/officeDocument/2006/relationships/comments" Target="/xl/comments/comment11.xml" Id="comments"/><Relationship Type="http://schemas.openxmlformats.org/officeDocument/2006/relationships/vmlDrawing" Target="/xl/drawings/commentsDrawing11.vml" Id="anysvml"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7.xml.rels><Relationships xmlns="http://schemas.openxmlformats.org/package/2006/relationships"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_rels/sheet8.xml.rels><Relationships xmlns="http://schemas.openxmlformats.org/package/2006/relationships"><Relationship Type="http://schemas.openxmlformats.org/officeDocument/2006/relationships/comments" Target="/xl/comments/comment4.xml" Id="comments"/><Relationship Type="http://schemas.openxmlformats.org/officeDocument/2006/relationships/vmlDrawing" Target="/xl/drawings/commentsDrawing4.vml" Id="anysvml"/></Relationships>
</file>

<file path=xl/worksheets/_rels/sheet9.xml.rels><Relationships xmlns="http://schemas.openxmlformats.org/package/2006/relationships"><Relationship Type="http://schemas.openxmlformats.org/officeDocument/2006/relationships/comments" Target="/xl/comments/comment5.xml" Id="comments"/><Relationship Type="http://schemas.openxmlformats.org/officeDocument/2006/relationships/vmlDrawing" Target="/xl/drawings/commentsDrawing5.vml" Id="anysvml"/></Relationships>
</file>

<file path=xl/worksheets/sheet1.xml><?xml version="1.0" encoding="utf-8"?>
<worksheet xmlns="http://schemas.openxmlformats.org/spreadsheetml/2006/main">
  <sheetPr>
    <tabColor rgb="FFD32F2F"/>
    <outlinePr summaryBelow="1" summaryRight="1"/>
    <pageSetUpPr/>
  </sheetPr>
  <dimension ref="A1:L34"/>
  <sheetViews>
    <sheetView zoomScaleNormal="100" workbookViewId="0">
      <selection activeCell="B7" sqref="B7:C7"/>
    </sheetView>
  </sheetViews>
  <sheetFormatPr baseColWidth="8" defaultColWidth="8.7109375" defaultRowHeight="15"/>
  <cols>
    <col width="3" customWidth="1" style="170" min="1" max="1"/>
    <col width="30" customWidth="1" style="170" min="2" max="2"/>
    <col width="18" customWidth="1" style="170" min="3" max="8"/>
  </cols>
  <sheetData>
    <row r="1"/>
    <row r="2" ht="72" customHeight="1" s="170">
      <c r="B2" s="2" t="inlineStr">
        <is>
          <t>EXECUTIVE SUMMARY – KRIZOVÝ CENOVÝ MODEL</t>
        </is>
      </c>
    </row>
    <row r="3" ht="38.25" customHeight="1" s="170">
      <c r="B3" s="3" t="inlineStr">
        <is>
          <t>DemoGlass (Demo Industrial Group) | Strategický nákup | Březen 2026</t>
        </is>
      </c>
    </row>
    <row r="4"/>
    <row r="5" ht="15" customHeight="1" s="170">
      <c r="B5" s="171" t="inlineStr">
        <is>
          <t>KLÍČOVÉ UKAZATELE</t>
        </is>
      </c>
      <c r="C5" s="173" t="n"/>
      <c r="D5" s="173" t="n"/>
      <c r="E5" s="173" t="n"/>
      <c r="F5" s="173" t="n"/>
      <c r="G5" s="173" t="n"/>
    </row>
    <row r="6" ht="15" customHeight="1" s="170">
      <c r="B6" s="158" t="inlineStr">
        <is>
          <t>Brent Crude Oil</t>
        </is>
      </c>
      <c r="C6" s="142" t="n"/>
      <c r="D6" s="158" t="inlineStr">
        <is>
          <t>TTF Natural Gas</t>
        </is>
      </c>
      <c r="E6" s="142" t="n"/>
      <c r="F6" s="158" t="inlineStr">
        <is>
          <t>Počet dotčených materiálů</t>
        </is>
      </c>
      <c r="G6" s="142" t="n"/>
    </row>
    <row r="7" ht="34.5" customHeight="1" s="170">
      <c r="B7" s="182">
        <f>Přehled!C9</f>
        <v/>
      </c>
      <c r="C7" s="142" t="n"/>
      <c r="D7" s="183">
        <f>Přehled!C10</f>
        <v/>
      </c>
      <c r="E7" s="142" t="n"/>
      <c r="F7" s="161" t="n">
        <v>11</v>
      </c>
      <c r="G7" s="142" t="n"/>
    </row>
    <row r="8" ht="15" customHeight="1" s="170">
      <c r="B8" s="156" t="inlineStr">
        <is>
          <t>▲ +60 % vs. únor</t>
        </is>
      </c>
      <c r="C8" s="142" t="n"/>
      <c r="D8" s="156" t="inlineStr">
        <is>
          <t>▲ +56 % vs. únor</t>
        </is>
      </c>
      <c r="E8" s="142" t="n"/>
      <c r="F8" s="157" t="inlineStr">
        <is>
          <t>Všechny ceny kompletní</t>
        </is>
      </c>
      <c r="G8" s="142" t="n"/>
    </row>
    <row r="9"/>
    <row r="10" ht="45" customHeight="1" s="170">
      <c r="B10" s="171" t="inlineStr">
        <is>
          <t>FINANČNÍ DOPAD – POROVNÁNÍ SCÉNÁŘŮ (6 měsíců, všechny materiály)</t>
        </is>
      </c>
      <c r="C10" s="173" t="n"/>
      <c r="D10" s="173" t="n"/>
      <c r="E10" s="173" t="n"/>
      <c r="F10" s="173" t="n"/>
      <c r="G10" s="173" t="n"/>
    </row>
    <row r="11" ht="25.5" customHeight="1" s="170">
      <c r="B11" s="7" t="inlineStr">
        <is>
          <t>Scénář</t>
        </is>
      </c>
      <c r="C11" s="7" t="inlineStr">
        <is>
          <t>Pass-through</t>
        </is>
      </c>
      <c r="D11" s="7" t="inlineStr">
        <is>
          <t>Celkový dopad
6M (EUR)</t>
        </is>
      </c>
      <c r="E11" s="7" t="inlineStr">
        <is>
          <t>% dopad na
nákladovou bázi</t>
        </is>
      </c>
      <c r="F11" s="7" t="inlineStr">
        <is>
          <t>Měsíční dopad
(EUR)</t>
        </is>
      </c>
      <c r="G11" s="7" t="inlineStr">
        <is>
          <t>Riziko</t>
        </is>
      </c>
    </row>
    <row r="12" ht="23.25" customHeight="1" s="170">
      <c r="B12" s="8" t="inlineStr">
        <is>
          <t>MÍRNÝ</t>
        </is>
      </c>
      <c r="C12" s="184" t="n">
        <v>0.3</v>
      </c>
      <c r="D12" s="185" t="n">
        <v>48915</v>
      </c>
      <c r="E12" s="184" t="n">
        <v>0.0734178516612861</v>
      </c>
      <c r="F12" s="186" t="n">
        <v>8152</v>
      </c>
      <c r="G12" s="12" t="inlineStr">
        <is>
          <t>Nízké</t>
        </is>
      </c>
    </row>
    <row r="13" ht="23.25" customHeight="1" s="170">
      <c r="B13" s="13" t="inlineStr">
        <is>
          <t>STŘEDNÍ</t>
        </is>
      </c>
      <c r="C13" s="187" t="n">
        <v>0.5</v>
      </c>
      <c r="D13" s="188" t="n">
        <v>81525</v>
      </c>
      <c r="E13" s="187" t="n">
        <v>0.122363086102144</v>
      </c>
      <c r="F13" s="189" t="n">
        <v>13587</v>
      </c>
      <c r="G13" s="13" t="inlineStr">
        <is>
          <t>Střední</t>
        </is>
      </c>
    </row>
    <row r="14" ht="23.25" customHeight="1" s="170">
      <c r="B14" s="17" t="inlineStr">
        <is>
          <t>KRIZOVÝ</t>
        </is>
      </c>
      <c r="C14" s="190" t="n">
        <v>0.75</v>
      </c>
      <c r="D14" s="191" t="n">
        <v>122287</v>
      </c>
      <c r="E14" s="192" t="n">
        <v>0.183544629153215</v>
      </c>
      <c r="F14" s="193" t="n">
        <v>20381</v>
      </c>
      <c r="G14" s="17" t="inlineStr">
        <is>
          <t>Vysoké</t>
        </is>
      </c>
    </row>
    <row r="15"/>
    <row r="16" ht="45" customHeight="1" s="170">
      <c r="B16" s="171" t="inlineStr">
        <is>
          <t>ROZPAD DLE MATERIÁLŮ – KRIZOVÝ SCÉNÁŘ (75 % pass-through, 6M)</t>
        </is>
      </c>
      <c r="C16" s="173" t="n"/>
      <c r="D16" s="173" t="n"/>
      <c r="E16" s="173" t="n"/>
      <c r="F16" s="173" t="n"/>
      <c r="G16" s="173" t="n"/>
    </row>
    <row r="17" ht="15" customHeight="1" s="170">
      <c r="B17" s="7" t="inlineStr">
        <is>
          <t>Materiál</t>
        </is>
      </c>
      <c r="C17" s="7" t="inlineStr">
        <is>
          <t>Dodavatel</t>
        </is>
      </c>
      <c r="D17" s="7" t="inlineStr">
        <is>
          <t>Aktuální cena</t>
        </is>
      </c>
      <c r="E17" s="7" t="inlineStr">
        <is>
          <t>Krizová cena</t>
        </is>
      </c>
      <c r="F17" s="7" t="inlineStr">
        <is>
          <t>% zdražení</t>
        </is>
      </c>
      <c r="G17" s="7" t="inlineStr">
        <is>
          <t>Dopad 6M (EUR)</t>
        </is>
      </c>
    </row>
    <row r="18" ht="15" customHeight="1" s="170">
      <c r="B18" s="163" t="inlineStr">
        <is>
          <t>Butyl GD 115</t>
        </is>
      </c>
      <c r="C18" s="157" t="inlineStr">
        <is>
          <t>SealantSupplier1</t>
        </is>
      </c>
      <c r="D18" s="194" t="n">
        <v>6.95</v>
      </c>
      <c r="E18" s="195" t="n">
        <v>8.029999999999999</v>
      </c>
      <c r="F18" s="192" t="n">
        <v>0.154831558098592</v>
      </c>
      <c r="G18" s="196" t="n">
        <v>3228</v>
      </c>
    </row>
    <row r="19" ht="15" customHeight="1" s="170">
      <c r="B19" s="163" t="inlineStr">
        <is>
          <t>Sealant130AB</t>
        </is>
      </c>
      <c r="C19" s="157" t="inlineStr">
        <is>
          <t>SealantSupplier2</t>
        </is>
      </c>
      <c r="D19" s="194" t="n">
        <v>2.66</v>
      </c>
      <c r="E19" s="195" t="n">
        <v>3.01</v>
      </c>
      <c r="F19" s="192" t="n">
        <v>0.131394850352113</v>
      </c>
      <c r="G19" s="196" t="n">
        <v>1678</v>
      </c>
    </row>
    <row r="20" ht="15" customHeight="1" s="170">
      <c r="B20" s="163" t="inlineStr">
        <is>
          <t>SiliconeSealant25 A</t>
        </is>
      </c>
      <c r="C20" s="157" t="inlineStr">
        <is>
          <t>SiliconeSupplier</t>
        </is>
      </c>
      <c r="D20" s="194" t="n">
        <v>3.82</v>
      </c>
      <c r="E20" s="195" t="n">
        <v>4.32</v>
      </c>
      <c r="F20" s="192" t="n">
        <v>0.130076936619718</v>
      </c>
      <c r="G20" s="196" t="n">
        <v>3578</v>
      </c>
    </row>
    <row r="21" ht="15" customHeight="1" s="170">
      <c r="B21" s="163" t="inlineStr">
        <is>
          <t>SiliconeSealant25 B</t>
        </is>
      </c>
      <c r="C21" s="157" t="inlineStr">
        <is>
          <t>SiliconeSupplier</t>
        </is>
      </c>
      <c r="D21" s="194" t="n">
        <v>17.5</v>
      </c>
      <c r="E21" s="195" t="n">
        <v>19.78</v>
      </c>
      <c r="F21" s="192" t="n">
        <v>0.130076936619718</v>
      </c>
      <c r="G21" s="196" t="n">
        <v>1366</v>
      </c>
    </row>
    <row r="22" ht="15" customHeight="1" s="170">
      <c r="B22" s="163" t="inlineStr">
        <is>
          <t>SieveBrand 555</t>
        </is>
      </c>
      <c r="C22" s="157" t="inlineStr">
        <is>
          <t>SieveSupplier</t>
        </is>
      </c>
      <c r="D22" s="194" t="n">
        <v>4.48</v>
      </c>
      <c r="E22" s="195" t="n">
        <v>5.25</v>
      </c>
      <c r="F22" s="192" t="n">
        <v>0.172264436619718</v>
      </c>
      <c r="G22" s="196" t="n">
        <v>1389</v>
      </c>
    </row>
    <row r="23" ht="15" customHeight="1" s="170">
      <c r="B23" s="163" t="inlineStr">
        <is>
          <t>SieveBrand 551</t>
        </is>
      </c>
      <c r="C23" s="157" t="inlineStr">
        <is>
          <t>SieveSupplier</t>
        </is>
      </c>
      <c r="D23" s="194" t="n">
        <v>2.24</v>
      </c>
      <c r="E23" s="195" t="n">
        <v>2.63</v>
      </c>
      <c r="F23" s="192" t="n">
        <v>0.172264436619718</v>
      </c>
      <c r="G23" s="196" t="n">
        <v>463</v>
      </c>
    </row>
    <row r="24" ht="15" customHeight="1" s="170">
      <c r="B24" s="163" t="inlineStr">
        <is>
          <t>SpacerSupplier 14mm</t>
        </is>
      </c>
      <c r="C24" s="157" t="inlineStr">
        <is>
          <t>SpacerSupplier</t>
        </is>
      </c>
      <c r="D24" s="194" t="n">
        <v>0.37</v>
      </c>
      <c r="E24" s="195" t="n">
        <v>0.42</v>
      </c>
      <c r="F24" s="192" t="n">
        <v>0.130955545774648</v>
      </c>
      <c r="G24" s="196" t="n">
        <v>1454</v>
      </c>
    </row>
    <row r="25" ht="15" customHeight="1" s="170">
      <c r="B25" s="163" t="inlineStr">
        <is>
          <t>SpacerSupplier 16mm</t>
        </is>
      </c>
      <c r="C25" s="157" t="inlineStr">
        <is>
          <t>SpacerSupplier</t>
        </is>
      </c>
      <c r="D25" s="194" t="n">
        <v>0.381</v>
      </c>
      <c r="E25" s="195" t="n">
        <v>0.43</v>
      </c>
      <c r="F25" s="192" t="n">
        <v>0.130955545774648</v>
      </c>
      <c r="G25" s="196" t="n">
        <v>898</v>
      </c>
    </row>
    <row r="26" ht="15" customHeight="1" s="170">
      <c r="B26" s="163" t="inlineStr">
        <is>
          <t>SpacerSupplier 18mm</t>
        </is>
      </c>
      <c r="C26" s="157" t="inlineStr">
        <is>
          <t>SpacerSupplier</t>
        </is>
      </c>
      <c r="D26" s="194" t="n">
        <v>0.44</v>
      </c>
      <c r="E26" s="195" t="n">
        <v>0.5</v>
      </c>
      <c r="F26" s="192" t="n">
        <v>0.130955545774648</v>
      </c>
      <c r="G26" s="196" t="n">
        <v>691</v>
      </c>
    </row>
    <row r="27" ht="15" customHeight="1" s="170">
      <c r="B27" s="163" t="inlineStr">
        <is>
          <t>FloatBrandClear 4mm</t>
        </is>
      </c>
      <c r="C27" s="157" t="inlineStr">
        <is>
          <t>SupplierA</t>
        </is>
      </c>
      <c r="D27" s="194" t="n">
        <v>4.68</v>
      </c>
      <c r="E27" s="195" t="n">
        <v>5.58</v>
      </c>
      <c r="F27" s="192" t="n">
        <v>0.191820620598592</v>
      </c>
      <c r="G27" s="196" t="n">
        <v>53863</v>
      </c>
    </row>
    <row r="28" ht="15" customHeight="1" s="170">
      <c r="B28" s="163" t="inlineStr">
        <is>
          <t>CoatedBrandPremiumN 4mm</t>
        </is>
      </c>
      <c r="C28" s="157" t="inlineStr">
        <is>
          <t>SupplierA</t>
        </is>
      </c>
      <c r="D28" s="194" t="n">
        <v>5.83</v>
      </c>
      <c r="E28" s="195" t="n">
        <v>6.95</v>
      </c>
      <c r="F28" s="192" t="n">
        <v>0.191820620598592</v>
      </c>
      <c r="G28" s="196" t="n">
        <v>53679</v>
      </c>
    </row>
    <row r="29" ht="15.75" customHeight="1" s="170">
      <c r="B29" s="26" t="inlineStr">
        <is>
          <t>CELKEM (všechny materiály)</t>
        </is>
      </c>
      <c r="C29" s="27" t="n"/>
      <c r="D29" s="27" t="n"/>
      <c r="E29" s="27" t="n"/>
      <c r="F29" s="27" t="n"/>
      <c r="G29" s="197" t="n">
        <v>122287</v>
      </c>
    </row>
    <row r="30"/>
    <row r="31"/>
    <row r="32" ht="15" customHeight="1" s="170">
      <c r="B32" s="29" t="inlineStr">
        <is>
          <t>Data pro graf:</t>
        </is>
      </c>
    </row>
    <row r="33" ht="15" customHeight="1" s="170">
      <c r="B33" s="30" t="inlineStr">
        <is>
          <t>Butyl</t>
        </is>
      </c>
      <c r="C33" s="30" t="inlineStr">
        <is>
          <t>SealantSupplier2</t>
        </is>
      </c>
      <c r="D33" s="30" t="inlineStr">
        <is>
          <t>SiliconeSupplier A</t>
        </is>
      </c>
      <c r="E33" s="30" t="inlineStr">
        <is>
          <t>SiliconeSupplier B</t>
        </is>
      </c>
      <c r="F33" s="30" t="inlineStr">
        <is>
          <t>Ph.555</t>
        </is>
      </c>
      <c r="G33" s="30" t="inlineStr">
        <is>
          <t>Ph.551</t>
        </is>
      </c>
      <c r="H33" s="30" t="inlineStr">
        <is>
          <t>SW 14</t>
        </is>
      </c>
      <c r="I33" s="30" t="inlineStr">
        <is>
          <t>SW 16</t>
        </is>
      </c>
      <c r="J33" s="30" t="inlineStr">
        <is>
          <t>SW 18</t>
        </is>
      </c>
      <c r="K33" s="30" t="inlineStr">
        <is>
          <t>Planic.</t>
        </is>
      </c>
      <c r="L33" s="30" t="inlineStr">
        <is>
          <t>Planith.</t>
        </is>
      </c>
    </row>
    <row r="34" ht="15" customHeight="1" s="170">
      <c r="B34" s="198" t="n">
        <v>3228</v>
      </c>
      <c r="C34" s="198" t="n">
        <v>1678</v>
      </c>
      <c r="D34" s="198" t="n">
        <v>3578</v>
      </c>
      <c r="E34" s="198" t="n">
        <v>1366</v>
      </c>
      <c r="F34" s="198" t="n">
        <v>1389</v>
      </c>
      <c r="G34" s="198" t="n">
        <v>463</v>
      </c>
      <c r="H34" s="198" t="n">
        <v>1454</v>
      </c>
      <c r="I34" s="198" t="n">
        <v>898</v>
      </c>
      <c r="J34" s="198" t="n">
        <v>691</v>
      </c>
      <c r="K34" s="198" t="n">
        <v>53863</v>
      </c>
      <c r="L34" s="198" t="n">
        <v>53679</v>
      </c>
    </row>
  </sheetData>
  <mergeCells count="9">
    <mergeCell ref="D8:E8"/>
    <mergeCell ref="D6:E6"/>
    <mergeCell ref="B6:C6"/>
    <mergeCell ref="D7:E7"/>
    <mergeCell ref="B7:C7"/>
    <mergeCell ref="F6:G6"/>
    <mergeCell ref="B8:C8"/>
    <mergeCell ref="F7:G7"/>
    <mergeCell ref="F8:G8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tabColor rgb="FF1565C0"/>
    <outlinePr summaryBelow="1" summaryRight="1"/>
    <pageSetUpPr/>
  </sheetPr>
  <dimension ref="A1:P49"/>
  <sheetViews>
    <sheetView zoomScaleNormal="100" workbookViewId="0">
      <selection activeCell="A45" sqref="A45:XFD45"/>
    </sheetView>
  </sheetViews>
  <sheetFormatPr baseColWidth="8" defaultColWidth="8.7109375" defaultRowHeight="15"/>
  <cols>
    <col width="3" customWidth="1" style="170" min="1" max="1"/>
    <col width="32" customWidth="1" style="170" min="2" max="2"/>
    <col width="14" customWidth="1" style="170" min="3" max="16"/>
  </cols>
  <sheetData>
    <row r="1"/>
    <row r="2" ht="36" customHeight="1" s="170">
      <c r="B2" s="2" t="inlineStr">
        <is>
          <t>MOLEKULOVÉ SÍTO – SieveSupplier</t>
        </is>
      </c>
    </row>
    <row r="3" ht="45" customHeight="1" s="170">
      <c r="B3" s="32" t="inlineStr">
        <is>
          <t>Analýza cenového dopadu růstu energií – Kvartální výhled Q2–Q3 2026</t>
        </is>
      </c>
    </row>
    <row r="4"/>
    <row r="5" ht="30" customHeight="1" s="170">
      <c r="B5" s="171" t="inlineStr">
        <is>
          <t>ENERGETICKÝ PROFIL VÝROBY</t>
        </is>
      </c>
      <c r="C5" s="173" t="n"/>
      <c r="D5" s="173" t="n"/>
      <c r="E5" s="173" t="n"/>
      <c r="F5" s="173" t="n"/>
      <c r="G5" s="173" t="n"/>
      <c r="H5" s="173" t="n"/>
      <c r="I5" s="173" t="n"/>
    </row>
    <row r="6" ht="25.5" customHeight="1" s="170">
      <c r="B6" s="34" t="inlineStr">
        <is>
          <t>Závislost na ropě (petrochemie, transport)</t>
        </is>
      </c>
      <c r="C6" s="233" t="n">
        <v>0.3</v>
      </c>
    </row>
    <row r="7" ht="15" customHeight="1" s="170">
      <c r="B7" s="34" t="inlineStr">
        <is>
          <t>Závislost na plynu (energie, suroviny)</t>
        </is>
      </c>
      <c r="C7" s="233" t="n">
        <v>0.7</v>
      </c>
    </row>
    <row r="8" ht="25.5" customHeight="1" s="170">
      <c r="B8" s="34" t="inlineStr">
        <is>
          <t>Podíl energetických nákladů na výr. ceně</t>
        </is>
      </c>
      <c r="C8" s="233" t="n">
        <v>0.4</v>
      </c>
    </row>
    <row r="9"/>
    <row r="10" ht="24" customHeight="1" s="170">
      <c r="B10" s="165" t="inlineStr">
        <is>
          <t>VÝROBNÍ PROCES A ENERGETICKÁ NÁROČNOST:</t>
        </is>
      </c>
    </row>
    <row r="11" ht="49.5" customHeight="1" s="170">
      <c r="B11" s="167" t="inlineStr">
        <is>
          <t>Molekulová síta (zeolity) se vyrábějí syntézou z hydroxidu sodného, hlinitanu sodného a křemičitanu sodného za vysoké teploty. Klíčovým krokem je kalcinace (výpal) při 500–700 °C, která spotřebovává velké množství zemního plynu. Aktivace a sušení zeolitu jsou další energeticky náročné kroky.</t>
        </is>
      </c>
    </row>
    <row r="12" ht="39.75" customHeight="1" s="170">
      <c r="B12" s="168" t="inlineStr">
        <is>
          <t>Vysoká závislost na plynu (~70 %) – kalcinace a sušení vyžadují intenzivní teplo z plynových pecí. Ropa (~30 %) ovlivňuje transport a balení.</t>
        </is>
      </c>
    </row>
    <row r="13"/>
    <row r="14" ht="30" customHeight="1" s="170">
      <c r="B14" s="171" t="inlineStr">
        <is>
          <t>A) CENOVÝ MODEL – JEDNOTKOVÁ CENA</t>
        </is>
      </c>
      <c r="C14" s="173" t="n"/>
      <c r="D14" s="173" t="n"/>
      <c r="E14" s="173" t="n"/>
      <c r="F14" s="173" t="n"/>
      <c r="G14" s="173" t="n"/>
      <c r="H14" s="173" t="n"/>
      <c r="I14" s="173" t="n"/>
      <c r="J14" s="173" t="n"/>
      <c r="K14" s="173" t="n"/>
    </row>
    <row r="15" ht="38.25" customHeight="1" s="170">
      <c r="B15" s="7" t="inlineStr">
        <is>
          <t>Produkt</t>
        </is>
      </c>
      <c r="C15" s="7" t="inlineStr">
        <is>
          <t>Jednotka</t>
        </is>
      </c>
      <c r="D15" s="7" t="inlineStr">
        <is>
          <t>Aktuální cena
(EUR)</t>
        </is>
      </c>
      <c r="E15" s="7" t="inlineStr">
        <is>
          <t>Scénář MÍRNÝ
(nová cena)</t>
        </is>
      </c>
      <c r="F15" s="7" t="inlineStr">
        <is>
          <t>Rozdíl
(EUR)</t>
        </is>
      </c>
      <c r="G15" s="7" t="inlineStr">
        <is>
          <t>Rozdíl
(%)</t>
        </is>
      </c>
      <c r="H15" s="7" t="inlineStr">
        <is>
          <t>Scénář STŘEDNÍ
(nová cena)</t>
        </is>
      </c>
      <c r="I15" s="7" t="inlineStr">
        <is>
          <t>Rozdíl
(EUR)</t>
        </is>
      </c>
      <c r="J15" s="7" t="inlineStr">
        <is>
          <t>Rozdíl
(%)</t>
        </is>
      </c>
      <c r="K15" s="7" t="inlineStr">
        <is>
          <t>Scénář KRIZOVÝ
(nová cena)</t>
        </is>
      </c>
      <c r="L15" s="7" t="inlineStr">
        <is>
          <t>Rozdíl
(EUR)</t>
        </is>
      </c>
      <c r="M15" s="7" t="inlineStr">
        <is>
          <t>Rozdíl
(%)</t>
        </is>
      </c>
    </row>
    <row r="16" ht="15" customHeight="1" s="170">
      <c r="B16" s="163" t="inlineStr">
        <is>
          <t>SieveBrand 555</t>
        </is>
      </c>
      <c r="C16" s="157" t="inlineStr">
        <is>
          <t>EUR/kg</t>
        </is>
      </c>
      <c r="D16" s="202" t="n">
        <v>4.48</v>
      </c>
      <c r="E16" s="204">
        <f>D16*(1+C8*(C6*(Ropa_a_plyn!C8-Ropa_a_plyn!C7)/Ropa_a_plyn!C7*0.3+C7*(Ropa_a_plyn!C17-Ropa_a_plyn!C16)/Ropa_a_plyn!C16*0.3))</f>
        <v/>
      </c>
      <c r="F16" s="234">
        <f>E16-D16</f>
        <v/>
      </c>
      <c r="G16" s="235">
        <f>F16/D16</f>
        <v/>
      </c>
      <c r="H16" s="205">
        <f>D16*(1+C8*(C6*(Ropa_a_plyn!C8-Ropa_a_plyn!C7)/Ropa_a_plyn!C7*0.5+C7*(Ropa_a_plyn!C17-Ropa_a_plyn!C16)/Ropa_a_plyn!C16*0.5))</f>
        <v/>
      </c>
      <c r="I16" s="236">
        <f>H16-D16</f>
        <v/>
      </c>
      <c r="J16" s="237">
        <f>I16/D16</f>
        <v/>
      </c>
      <c r="K16" s="206">
        <f>D16*(1+C8*(C6*(Ropa_a_plyn!C8-Ropa_a_plyn!C7)/Ropa_a_plyn!C7*0.75+C7*(Ropa_a_plyn!C17-Ropa_a_plyn!C16)/Ropa_a_plyn!C16*0.75))</f>
        <v/>
      </c>
      <c r="L16" s="238">
        <f>K16-D16</f>
        <v/>
      </c>
      <c r="M16" s="192">
        <f>L16/D16</f>
        <v/>
      </c>
    </row>
    <row r="17" ht="15" customHeight="1" s="170">
      <c r="B17" s="163" t="inlineStr">
        <is>
          <t>SieveBrand 551</t>
        </is>
      </c>
      <c r="C17" s="157" t="inlineStr">
        <is>
          <t>EUR/kg</t>
        </is>
      </c>
      <c r="D17" s="202" t="n">
        <v>2.24</v>
      </c>
      <c r="E17" s="204">
        <f>D17*(1+C8*(C6*(Ropa_a_plyn!C8-Ropa_a_plyn!C7)/Ropa_a_plyn!C7*0.3+C7*(Ropa_a_plyn!C17-Ropa_a_plyn!C16)/Ropa_a_plyn!C16*0.3))</f>
        <v/>
      </c>
      <c r="F17" s="234">
        <f>E17-D17</f>
        <v/>
      </c>
      <c r="G17" s="235">
        <f>F17/D17</f>
        <v/>
      </c>
      <c r="H17" s="205">
        <f>D17*(1+C8*(C6*(Ropa_a_plyn!C8-Ropa_a_plyn!C7)/Ropa_a_plyn!C7*0.5+C7*(Ropa_a_plyn!C17-Ropa_a_plyn!C16)/Ropa_a_plyn!C16*0.5))</f>
        <v/>
      </c>
      <c r="I17" s="236">
        <f>H17-D17</f>
        <v/>
      </c>
      <c r="J17" s="237">
        <f>I17/D17</f>
        <v/>
      </c>
      <c r="K17" s="206">
        <f>D17*(1+C8*(C6*(Ropa_a_plyn!C8-Ropa_a_plyn!C7)/Ropa_a_plyn!C7*0.75+C7*(Ropa_a_plyn!C17-Ropa_a_plyn!C16)/Ropa_a_plyn!C16*0.75))</f>
        <v/>
      </c>
      <c r="L17" s="238">
        <f>K17-D17</f>
        <v/>
      </c>
      <c r="M17" s="192">
        <f>L17/D17</f>
        <v/>
      </c>
    </row>
    <row r="18"/>
    <row r="19"/>
    <row r="20" ht="30" customHeight="1" s="170">
      <c r="B20" s="171" t="inlineStr">
        <is>
          <t>B) OBJEMY A KVARTÁLNÍ FINANČNÍ DOPAD</t>
        </is>
      </c>
      <c r="C20" s="173" t="n"/>
      <c r="D20" s="173" t="n"/>
      <c r="E20" s="173" t="n"/>
      <c r="F20" s="173" t="n"/>
      <c r="G20" s="173" t="n"/>
      <c r="H20" s="173" t="n"/>
      <c r="I20" s="173" t="n"/>
      <c r="J20" s="173" t="n"/>
      <c r="K20" s="173" t="n"/>
      <c r="L20" s="173" t="n"/>
      <c r="M20" s="173" t="n"/>
      <c r="N20" s="173" t="n"/>
    </row>
    <row r="21" ht="25.5" customHeight="1" s="170">
      <c r="B21" s="7" t="inlineStr">
        <is>
          <t>Produkt</t>
        </is>
      </c>
      <c r="C21" s="7" t="inlineStr">
        <is>
          <t>Jednotka</t>
        </is>
      </c>
      <c r="D21" s="7" t="inlineStr">
        <is>
          <t>Měsíční objem</t>
        </is>
      </c>
      <c r="E21" s="7" t="inlineStr">
        <is>
          <t>Q2 2026
(Dub–Čer)</t>
        </is>
      </c>
      <c r="F21" s="7" t="inlineStr">
        <is>
          <t>Q3 2026
(Čec–Zář)</t>
        </is>
      </c>
      <c r="G21" s="7" t="inlineStr">
        <is>
          <t>Celkem
6 měsíců</t>
        </is>
      </c>
    </row>
    <row r="22" ht="15" customHeight="1" s="170">
      <c r="B22" s="163" t="inlineStr">
        <is>
          <t>SieveBrand 555</t>
        </is>
      </c>
      <c r="C22" s="157" t="inlineStr">
        <is>
          <t>EUR/kg</t>
        </is>
      </c>
      <c r="D22" s="40" t="n">
        <v>300</v>
      </c>
      <c r="E22" s="106">
        <f>D22*3</f>
        <v/>
      </c>
      <c r="F22" s="106">
        <f>D22*3</f>
        <v/>
      </c>
      <c r="G22" s="41">
        <f>E22+F22</f>
        <v/>
      </c>
    </row>
    <row r="23" ht="15" customHeight="1" s="170">
      <c r="B23" s="163" t="inlineStr">
        <is>
          <t>SieveBrand 551</t>
        </is>
      </c>
      <c r="C23" s="157" t="inlineStr">
        <is>
          <t>EUR/kg</t>
        </is>
      </c>
      <c r="D23" s="40" t="n">
        <v>200</v>
      </c>
      <c r="E23" s="106">
        <f>D23*3</f>
        <v/>
      </c>
      <c r="F23" s="106">
        <f>D23*3</f>
        <v/>
      </c>
      <c r="G23" s="41">
        <f>E23+F23</f>
        <v/>
      </c>
    </row>
    <row r="24"/>
    <row r="25" ht="30" customHeight="1" s="170">
      <c r="B25" s="171" t="inlineStr">
        <is>
          <t>C1) FINANČNÍ DOPAD – SCÉNÁŘ MÍRNÝ</t>
        </is>
      </c>
      <c r="C25" s="173" t="n"/>
      <c r="D25" s="173" t="n"/>
      <c r="E25" s="173" t="n"/>
      <c r="F25" s="173" t="n"/>
      <c r="G25" s="173" t="n"/>
      <c r="H25" s="173" t="n"/>
      <c r="I25" s="173" t="n"/>
      <c r="J25" s="173" t="n"/>
      <c r="K25" s="173" t="n"/>
      <c r="L25" s="173" t="n"/>
      <c r="M25" s="173" t="n"/>
      <c r="N25" s="173" t="n"/>
    </row>
    <row r="26" ht="25.5" customHeight="1" s="170">
      <c r="B26" s="7" t="inlineStr">
        <is>
          <t>Produkt</t>
        </is>
      </c>
      <c r="C26" s="7" t="n"/>
      <c r="D26" s="7" t="inlineStr">
        <is>
          <t>Aktuální
jedn. cena</t>
        </is>
      </c>
      <c r="E26" s="7" t="inlineStr">
        <is>
          <t>Nová
jedn. cena</t>
        </is>
      </c>
      <c r="F26" s="7" t="inlineStr">
        <is>
          <t>Náklady Q2
AKTUÁLNÍ</t>
        </is>
      </c>
      <c r="G26" s="7" t="inlineStr">
        <is>
          <t>Náklady Q2
NOVÉ</t>
        </is>
      </c>
      <c r="H26" s="7" t="inlineStr">
        <is>
          <t>Rozdíl Q2
(EUR)</t>
        </is>
      </c>
      <c r="I26" s="7" t="inlineStr">
        <is>
          <t>Náklady Q3
AKTUÁLNÍ</t>
        </is>
      </c>
      <c r="J26" s="7" t="inlineStr">
        <is>
          <t>Náklady Q3
NOVÉ</t>
        </is>
      </c>
      <c r="K26" s="7" t="inlineStr">
        <is>
          <t>Rozdíl Q3
(EUR)</t>
        </is>
      </c>
      <c r="L26" s="7" t="inlineStr">
        <is>
          <t>Celkem 6M
AKTUÁLNÍ</t>
        </is>
      </c>
      <c r="M26" s="7" t="inlineStr">
        <is>
          <t>Celkem 6M
NOVÉ</t>
        </is>
      </c>
      <c r="N26" s="7" t="inlineStr">
        <is>
          <t>Celkový rozdíl
6M (EUR)</t>
        </is>
      </c>
    </row>
    <row r="27" ht="15" customHeight="1" s="170">
      <c r="B27" s="163" t="inlineStr">
        <is>
          <t>SieveBrand 555</t>
        </is>
      </c>
      <c r="C27" s="157" t="inlineStr">
        <is>
          <t>EUR/kg</t>
        </is>
      </c>
      <c r="D27" s="239">
        <f>D16</f>
        <v/>
      </c>
      <c r="E27" s="240">
        <f>E16</f>
        <v/>
      </c>
      <c r="F27" s="241">
        <f>D16*E22</f>
        <v/>
      </c>
      <c r="G27" s="186">
        <f>E16*E22</f>
        <v/>
      </c>
      <c r="H27" s="196">
        <f>G27-F27</f>
        <v/>
      </c>
      <c r="I27" s="241">
        <f>D16*F22</f>
        <v/>
      </c>
      <c r="J27" s="186">
        <f>E16*F22</f>
        <v/>
      </c>
      <c r="K27" s="196">
        <f>J27-I27</f>
        <v/>
      </c>
      <c r="L27" s="242">
        <f>F27+I27</f>
        <v/>
      </c>
      <c r="M27" s="186">
        <f>G27+J27</f>
        <v/>
      </c>
      <c r="N27" s="196">
        <f>M27-L27</f>
        <v/>
      </c>
    </row>
    <row r="28" ht="15" customHeight="1" s="170">
      <c r="B28" s="163" t="inlineStr">
        <is>
          <t>SieveBrand 551</t>
        </is>
      </c>
      <c r="C28" s="157" t="inlineStr">
        <is>
          <t>EUR/kg</t>
        </is>
      </c>
      <c r="D28" s="239">
        <f>D17</f>
        <v/>
      </c>
      <c r="E28" s="240">
        <f>E17</f>
        <v/>
      </c>
      <c r="F28" s="241">
        <f>D17*E23</f>
        <v/>
      </c>
      <c r="G28" s="186">
        <f>E17*E23</f>
        <v/>
      </c>
      <c r="H28" s="196">
        <f>G28-F28</f>
        <v/>
      </c>
      <c r="I28" s="241">
        <f>D17*F23</f>
        <v/>
      </c>
      <c r="J28" s="186">
        <f>E17*F23</f>
        <v/>
      </c>
      <c r="K28" s="196">
        <f>J28-I28</f>
        <v/>
      </c>
      <c r="L28" s="242">
        <f>F28+I28</f>
        <v/>
      </c>
      <c r="M28" s="186">
        <f>G28+J28</f>
        <v/>
      </c>
      <c r="N28" s="196">
        <f>M28-L28</f>
        <v/>
      </c>
    </row>
    <row r="29" ht="15" customHeight="1" s="170">
      <c r="B29" s="111" t="inlineStr">
        <is>
          <t>CELKEM</t>
        </is>
      </c>
      <c r="C29" s="27" t="n"/>
      <c r="D29" s="27" t="n"/>
      <c r="E29" s="27" t="n"/>
      <c r="F29" s="243">
        <f>SUM(F27:F28)</f>
        <v/>
      </c>
      <c r="G29" s="243">
        <f>SUM(G27:G28)</f>
        <v/>
      </c>
      <c r="H29" s="196">
        <f>SUM(H27:H28)</f>
        <v/>
      </c>
      <c r="I29" s="243">
        <f>SUM(I27:I28)</f>
        <v/>
      </c>
      <c r="J29" s="243">
        <f>SUM(J27:J28)</f>
        <v/>
      </c>
      <c r="K29" s="196">
        <f>SUM(K27:K28)</f>
        <v/>
      </c>
      <c r="L29" s="243">
        <f>SUM(L27:L28)</f>
        <v/>
      </c>
      <c r="M29" s="243">
        <f>SUM(M27:M28)</f>
        <v/>
      </c>
      <c r="N29" s="196">
        <f>SUM(N27:N28)</f>
        <v/>
      </c>
    </row>
    <row r="30"/>
    <row r="31" ht="30" customHeight="1" s="170">
      <c r="B31" s="171" t="inlineStr">
        <is>
          <t>C2) FINANČNÍ DOPAD – SCÉNÁŘ STŘEDNÍ</t>
        </is>
      </c>
      <c r="C31" s="173" t="n"/>
      <c r="D31" s="173" t="n"/>
      <c r="E31" s="173" t="n"/>
      <c r="F31" s="173" t="n"/>
      <c r="G31" s="173" t="n"/>
      <c r="H31" s="173" t="n"/>
      <c r="I31" s="173" t="n"/>
      <c r="J31" s="173" t="n"/>
      <c r="K31" s="173" t="n"/>
      <c r="L31" s="173" t="n"/>
      <c r="M31" s="173" t="n"/>
      <c r="N31" s="173" t="n"/>
    </row>
    <row r="32" ht="25.5" customHeight="1" s="170">
      <c r="B32" s="7" t="inlineStr">
        <is>
          <t>Produkt</t>
        </is>
      </c>
      <c r="C32" s="7" t="n"/>
      <c r="D32" s="7" t="inlineStr">
        <is>
          <t>Aktuální
jedn. cena</t>
        </is>
      </c>
      <c r="E32" s="7" t="inlineStr">
        <is>
          <t>Nová
jedn. cena</t>
        </is>
      </c>
      <c r="F32" s="7" t="inlineStr">
        <is>
          <t>Náklady Q2
AKTUÁLNÍ</t>
        </is>
      </c>
      <c r="G32" s="7" t="inlineStr">
        <is>
          <t>Náklady Q2
NOVÉ</t>
        </is>
      </c>
      <c r="H32" s="7" t="inlineStr">
        <is>
          <t>Rozdíl Q2
(EUR)</t>
        </is>
      </c>
      <c r="I32" s="7" t="inlineStr">
        <is>
          <t>Náklady Q3
AKTUÁLNÍ</t>
        </is>
      </c>
      <c r="J32" s="7" t="inlineStr">
        <is>
          <t>Náklady Q3
NOVÉ</t>
        </is>
      </c>
      <c r="K32" s="7" t="inlineStr">
        <is>
          <t>Rozdíl Q3
(EUR)</t>
        </is>
      </c>
      <c r="L32" s="7" t="inlineStr">
        <is>
          <t>Celkem 6M
AKTUÁLNÍ</t>
        </is>
      </c>
      <c r="M32" s="7" t="inlineStr">
        <is>
          <t>Celkem 6M
NOVÉ</t>
        </is>
      </c>
      <c r="N32" s="7" t="inlineStr">
        <is>
          <t>Celkový rozdíl
6M (EUR)</t>
        </is>
      </c>
    </row>
    <row r="33" ht="15" customHeight="1" s="170">
      <c r="B33" s="163" t="inlineStr">
        <is>
          <t>SieveBrand 555</t>
        </is>
      </c>
      <c r="C33" s="157" t="inlineStr">
        <is>
          <t>EUR/kg</t>
        </is>
      </c>
      <c r="D33" s="239">
        <f>D16</f>
        <v/>
      </c>
      <c r="E33" s="244">
        <f>H16</f>
        <v/>
      </c>
      <c r="F33" s="241">
        <f>D16*E22</f>
        <v/>
      </c>
      <c r="G33" s="189">
        <f>H16*E22</f>
        <v/>
      </c>
      <c r="H33" s="196">
        <f>G33-F33</f>
        <v/>
      </c>
      <c r="I33" s="241">
        <f>D16*F22</f>
        <v/>
      </c>
      <c r="J33" s="189">
        <f>H16*F22</f>
        <v/>
      </c>
      <c r="K33" s="196">
        <f>J33-I33</f>
        <v/>
      </c>
      <c r="L33" s="242">
        <f>F33+I33</f>
        <v/>
      </c>
      <c r="M33" s="189">
        <f>G33+J33</f>
        <v/>
      </c>
      <c r="N33" s="196">
        <f>M33-L33</f>
        <v/>
      </c>
    </row>
    <row r="34" ht="15" customHeight="1" s="170">
      <c r="B34" s="163" t="inlineStr">
        <is>
          <t>SieveBrand 551</t>
        </is>
      </c>
      <c r="C34" s="157" t="inlineStr">
        <is>
          <t>EUR/kg</t>
        </is>
      </c>
      <c r="D34" s="239">
        <f>D17</f>
        <v/>
      </c>
      <c r="E34" s="244">
        <f>H17</f>
        <v/>
      </c>
      <c r="F34" s="241">
        <f>D17*E23</f>
        <v/>
      </c>
      <c r="G34" s="189">
        <f>H17*E23</f>
        <v/>
      </c>
      <c r="H34" s="196">
        <f>G34-F34</f>
        <v/>
      </c>
      <c r="I34" s="241">
        <f>D17*F23</f>
        <v/>
      </c>
      <c r="J34" s="189">
        <f>H17*F23</f>
        <v/>
      </c>
      <c r="K34" s="196">
        <f>J34-I34</f>
        <v/>
      </c>
      <c r="L34" s="242">
        <f>F34+I34</f>
        <v/>
      </c>
      <c r="M34" s="189">
        <f>G34+J34</f>
        <v/>
      </c>
      <c r="N34" s="196">
        <f>M34-L34</f>
        <v/>
      </c>
    </row>
    <row r="35" ht="15" customHeight="1" s="170">
      <c r="B35" s="111" t="inlineStr">
        <is>
          <t>CELKEM</t>
        </is>
      </c>
      <c r="C35" s="27" t="n"/>
      <c r="D35" s="27" t="n"/>
      <c r="E35" s="27" t="n"/>
      <c r="F35" s="243">
        <f>SUM(F33:F34)</f>
        <v/>
      </c>
      <c r="G35" s="243">
        <f>SUM(G33:G34)</f>
        <v/>
      </c>
      <c r="H35" s="196">
        <f>SUM(H33:H34)</f>
        <v/>
      </c>
      <c r="I35" s="243">
        <f>SUM(I33:I34)</f>
        <v/>
      </c>
      <c r="J35" s="243">
        <f>SUM(J33:J34)</f>
        <v/>
      </c>
      <c r="K35" s="196">
        <f>SUM(K33:K34)</f>
        <v/>
      </c>
      <c r="L35" s="243">
        <f>SUM(L33:L34)</f>
        <v/>
      </c>
      <c r="M35" s="243">
        <f>SUM(M33:M34)</f>
        <v/>
      </c>
      <c r="N35" s="196">
        <f>SUM(N33:N34)</f>
        <v/>
      </c>
    </row>
    <row r="36"/>
    <row r="37" ht="30" customHeight="1" s="170">
      <c r="B37" s="171" t="inlineStr">
        <is>
          <t>C3) FINANČNÍ DOPAD – SCÉNÁŘ KRIZOVÝ</t>
        </is>
      </c>
      <c r="C37" s="173" t="n"/>
      <c r="D37" s="173" t="n"/>
      <c r="E37" s="173" t="n"/>
      <c r="F37" s="173" t="n"/>
      <c r="G37" s="173" t="n"/>
      <c r="H37" s="173" t="n"/>
      <c r="I37" s="173" t="n"/>
      <c r="J37" s="173" t="n"/>
      <c r="K37" s="173" t="n"/>
      <c r="L37" s="173" t="n"/>
      <c r="M37" s="173" t="n"/>
      <c r="N37" s="173" t="n"/>
    </row>
    <row r="38" ht="25.5" customHeight="1" s="170">
      <c r="B38" s="7" t="inlineStr">
        <is>
          <t>Produkt</t>
        </is>
      </c>
      <c r="C38" s="7" t="n"/>
      <c r="D38" s="7" t="inlineStr">
        <is>
          <t>Aktuální
jedn. cena</t>
        </is>
      </c>
      <c r="E38" s="7" t="inlineStr">
        <is>
          <t>Nová
jedn. cena</t>
        </is>
      </c>
      <c r="F38" s="7" t="inlineStr">
        <is>
          <t>Náklady Q2
AKTUÁLNÍ</t>
        </is>
      </c>
      <c r="G38" s="7" t="inlineStr">
        <is>
          <t>Náklady Q2
NOVÉ</t>
        </is>
      </c>
      <c r="H38" s="7" t="inlineStr">
        <is>
          <t>Rozdíl Q2
(EUR)</t>
        </is>
      </c>
      <c r="I38" s="7" t="inlineStr">
        <is>
          <t>Náklady Q3
AKTUÁLNÍ</t>
        </is>
      </c>
      <c r="J38" s="7" t="inlineStr">
        <is>
          <t>Náklady Q3
NOVÉ</t>
        </is>
      </c>
      <c r="K38" s="7" t="inlineStr">
        <is>
          <t>Rozdíl Q3
(EUR)</t>
        </is>
      </c>
      <c r="L38" s="7" t="inlineStr">
        <is>
          <t>Celkem 6M
AKTUÁLNÍ</t>
        </is>
      </c>
      <c r="M38" s="7" t="inlineStr">
        <is>
          <t>Celkem 6M
NOVÉ</t>
        </is>
      </c>
      <c r="N38" s="7" t="inlineStr">
        <is>
          <t>Celkový rozdíl
6M (EUR)</t>
        </is>
      </c>
    </row>
    <row r="39" ht="15" customHeight="1" s="170">
      <c r="B39" s="163" t="inlineStr">
        <is>
          <t>SieveBrand 555</t>
        </is>
      </c>
      <c r="C39" s="157" t="inlineStr">
        <is>
          <t>EUR/kg</t>
        </is>
      </c>
      <c r="D39" s="239">
        <f>D16</f>
        <v/>
      </c>
      <c r="E39" s="245">
        <f>K16</f>
        <v/>
      </c>
      <c r="F39" s="241">
        <f>D16*E22</f>
        <v/>
      </c>
      <c r="G39" s="193">
        <f>K16*E22</f>
        <v/>
      </c>
      <c r="H39" s="196">
        <f>G39-F39</f>
        <v/>
      </c>
      <c r="I39" s="241">
        <f>D16*F22</f>
        <v/>
      </c>
      <c r="J39" s="193">
        <f>K16*F22</f>
        <v/>
      </c>
      <c r="K39" s="196">
        <f>J39-I39</f>
        <v/>
      </c>
      <c r="L39" s="242">
        <f>F39+I39</f>
        <v/>
      </c>
      <c r="M39" s="193">
        <f>G39+J39</f>
        <v/>
      </c>
      <c r="N39" s="196">
        <f>M39-L39</f>
        <v/>
      </c>
    </row>
    <row r="40" ht="15" customHeight="1" s="170">
      <c r="B40" s="163" t="inlineStr">
        <is>
          <t>SieveBrand 551</t>
        </is>
      </c>
      <c r="C40" s="157" t="inlineStr">
        <is>
          <t>EUR/kg</t>
        </is>
      </c>
      <c r="D40" s="239">
        <f>D17</f>
        <v/>
      </c>
      <c r="E40" s="245">
        <f>K17</f>
        <v/>
      </c>
      <c r="F40" s="241">
        <f>D17*E23</f>
        <v/>
      </c>
      <c r="G40" s="193">
        <f>K17*E23</f>
        <v/>
      </c>
      <c r="H40" s="196">
        <f>G40-F40</f>
        <v/>
      </c>
      <c r="I40" s="241">
        <f>D17*F23</f>
        <v/>
      </c>
      <c r="J40" s="193">
        <f>K17*F23</f>
        <v/>
      </c>
      <c r="K40" s="196">
        <f>J40-I40</f>
        <v/>
      </c>
      <c r="L40" s="242">
        <f>F40+I40</f>
        <v/>
      </c>
      <c r="M40" s="193">
        <f>G40+J40</f>
        <v/>
      </c>
      <c r="N40" s="196">
        <f>M40-L40</f>
        <v/>
      </c>
    </row>
    <row r="41" ht="15" customHeight="1" s="170">
      <c r="B41" s="111" t="inlineStr">
        <is>
          <t>CELKEM</t>
        </is>
      </c>
      <c r="C41" s="27" t="n"/>
      <c r="D41" s="27" t="n"/>
      <c r="E41" s="27" t="n"/>
      <c r="F41" s="243">
        <f>SUM(F39:F40)</f>
        <v/>
      </c>
      <c r="G41" s="243">
        <f>SUM(G39:G40)</f>
        <v/>
      </c>
      <c r="H41" s="196">
        <f>SUM(H39:H40)</f>
        <v/>
      </c>
      <c r="I41" s="243">
        <f>SUM(I39:I40)</f>
        <v/>
      </c>
      <c r="J41" s="243">
        <f>SUM(J39:J40)</f>
        <v/>
      </c>
      <c r="K41" s="196">
        <f>SUM(K39:K40)</f>
        <v/>
      </c>
      <c r="L41" s="243">
        <f>SUM(L39:L40)</f>
        <v/>
      </c>
      <c r="M41" s="243">
        <f>SUM(M39:M40)</f>
        <v/>
      </c>
      <c r="N41" s="196">
        <f>SUM(N39:N40)</f>
        <v/>
      </c>
    </row>
    <row r="42"/>
    <row r="43"/>
    <row r="44" ht="26.25" customHeight="1" s="170">
      <c r="B44" s="171" t="inlineStr">
        <is>
          <t>D) PREDIKCE vs. REALITA – POROVNÁNÍ S DODAVATELEM</t>
        </is>
      </c>
      <c r="C44" s="173" t="n"/>
      <c r="D44" s="173" t="n"/>
      <c r="E44" s="173" t="n"/>
      <c r="F44" s="173" t="n"/>
      <c r="G44" s="173" t="n"/>
      <c r="H44" s="173" t="n"/>
      <c r="I44" s="173" t="n"/>
      <c r="J44" s="173" t="n"/>
      <c r="K44" s="173" t="n"/>
      <c r="L44" s="173" t="n"/>
      <c r="M44" s="173" t="n"/>
      <c r="N44" s="173" t="n"/>
      <c r="O44" s="173" t="n"/>
    </row>
    <row r="45" ht="25.5" customHeight="1" s="170">
      <c r="B45" s="7" t="inlineStr">
        <is>
          <t>Produkt</t>
        </is>
      </c>
      <c r="C45" s="7" t="inlineStr">
        <is>
          <t>Jednotka</t>
        </is>
      </c>
      <c r="D45" s="7" t="inlineStr">
        <is>
          <t>Aktuální
cena</t>
        </is>
      </c>
      <c r="E45" s="7" t="inlineStr">
        <is>
          <t>Predikce
MÍRNÝ</t>
        </is>
      </c>
      <c r="F45" s="7" t="inlineStr">
        <is>
          <t>Predikce
STŘEDNÍ</t>
        </is>
      </c>
      <c r="G45" s="7" t="inlineStr">
        <is>
          <t>Predikce
KRIZOVÝ</t>
        </is>
      </c>
      <c r="H45" s="7" t="inlineStr">
        <is>
          <t>Reálná nová
cena (EUR)</t>
        </is>
      </c>
      <c r="I45" s="7" t="inlineStr">
        <is>
          <t>Reálné
zdražení (%)</t>
        </is>
      </c>
      <c r="J45" s="7" t="inlineStr">
        <is>
          <t>Reálný vs.
Mírný</t>
        </is>
      </c>
      <c r="K45" s="7" t="inlineStr">
        <is>
          <t>Reálný vs.
Střední</t>
        </is>
      </c>
      <c r="L45" s="7" t="inlineStr">
        <is>
          <t>Reálný vs.
Krizový</t>
        </is>
      </c>
      <c r="M45" s="7" t="inlineStr">
        <is>
          <t>Měs. objem</t>
        </is>
      </c>
      <c r="N45" s="7" t="inlineStr">
        <is>
          <t>Reálný dopad
měsíční (EUR)</t>
        </is>
      </c>
      <c r="O45" s="7" t="inlineStr">
        <is>
          <t>Reálný dopad
6M (EUR)</t>
        </is>
      </c>
      <c r="P45" s="155" t="inlineStr">
        <is>
          <t>Zdražení
od</t>
        </is>
      </c>
    </row>
    <row r="46" ht="15" customHeight="1" s="170">
      <c r="B46" s="163" t="inlineStr">
        <is>
          <t>SieveBrand 555</t>
        </is>
      </c>
      <c r="C46" s="157" t="inlineStr">
        <is>
          <t>EUR/kg</t>
        </is>
      </c>
      <c r="D46" s="239">
        <f>D16</f>
        <v/>
      </c>
      <c r="E46" s="240">
        <f>E16</f>
        <v/>
      </c>
      <c r="F46" s="244">
        <f>H16</f>
        <v/>
      </c>
      <c r="G46" s="245">
        <f>K16</f>
        <v/>
      </c>
      <c r="H46" s="48" t="inlineStr">
        <is>
          <t>Doplnit</t>
        </is>
      </c>
      <c r="I46" s="49" t="inlineStr">
        <is>
          <t>Čekáme</t>
        </is>
      </c>
      <c r="J46" s="49" t="inlineStr">
        <is>
          <t>–</t>
        </is>
      </c>
      <c r="K46" s="49" t="inlineStr">
        <is>
          <t>–</t>
        </is>
      </c>
      <c r="L46" s="49" t="inlineStr">
        <is>
          <t>–</t>
        </is>
      </c>
      <c r="M46" s="49" t="inlineStr">
        <is>
          <t>–</t>
        </is>
      </c>
      <c r="N46" s="49" t="inlineStr">
        <is>
          <t>–</t>
        </is>
      </c>
      <c r="O46" s="49" t="inlineStr">
        <is>
          <t>–</t>
        </is>
      </c>
      <c r="P46" s="50" t="inlineStr">
        <is>
          <t>Čekáme</t>
        </is>
      </c>
    </row>
    <row r="47" ht="15" customHeight="1" s="170">
      <c r="B47" s="163" t="inlineStr">
        <is>
          <t>SieveBrand 551</t>
        </is>
      </c>
      <c r="C47" s="157" t="inlineStr">
        <is>
          <t>EUR/kg</t>
        </is>
      </c>
      <c r="D47" s="239">
        <f>D17</f>
        <v/>
      </c>
      <c r="E47" s="240">
        <f>E17</f>
        <v/>
      </c>
      <c r="F47" s="244">
        <f>H17</f>
        <v/>
      </c>
      <c r="G47" s="245">
        <f>K17</f>
        <v/>
      </c>
      <c r="H47" s="48" t="inlineStr">
        <is>
          <t>Doplnit</t>
        </is>
      </c>
      <c r="I47" s="49" t="inlineStr">
        <is>
          <t>Čekáme</t>
        </is>
      </c>
      <c r="J47" s="49" t="inlineStr">
        <is>
          <t>–</t>
        </is>
      </c>
      <c r="K47" s="49" t="inlineStr">
        <is>
          <t>–</t>
        </is>
      </c>
      <c r="L47" s="49" t="inlineStr">
        <is>
          <t>–</t>
        </is>
      </c>
      <c r="M47" s="49" t="inlineStr">
        <is>
          <t>–</t>
        </is>
      </c>
      <c r="N47" s="49" t="inlineStr">
        <is>
          <t>–</t>
        </is>
      </c>
      <c r="O47" s="49" t="inlineStr">
        <is>
          <t>–</t>
        </is>
      </c>
      <c r="P47" s="50" t="inlineStr">
        <is>
          <t>Čekáme</t>
        </is>
      </c>
    </row>
    <row r="48"/>
    <row r="49" ht="15" customHeight="1" s="170">
      <c r="B49" s="165" t="inlineStr">
        <is>
          <t>Status:</t>
        </is>
      </c>
      <c r="C49" s="162" t="inlineStr">
        <is>
          <t>⏳ Čekáme na vyjádření dodavatele. Doplňte reálnou cenu po obdržení nabídky.</t>
        </is>
      </c>
    </row>
  </sheetData>
  <mergeCells count="3">
    <mergeCell ref="B12:J12"/>
    <mergeCell ref="B11:J11"/>
    <mergeCell ref="C49:L49"/>
  </mergeCells>
  <pageMargins left="0.75" right="0.75" top="1" bottom="1" header="0.511811023622047" footer="0.511811023622047"/>
  <pageSetup orientation="portrait" paperSize="9" horizontalDpi="300" verticalDpi="300"/>
  <legacyDrawing xmlns:r="http://schemas.openxmlformats.org/officeDocument/2006/relationships" r:id="anysvml"/>
</worksheet>
</file>

<file path=xl/worksheets/sheet11.xml><?xml version="1.0" encoding="utf-8"?>
<worksheet xmlns="http://schemas.openxmlformats.org/spreadsheetml/2006/main">
  <sheetPr>
    <tabColor rgb="FF607D8B"/>
    <outlinePr summaryBelow="1" summaryRight="1"/>
    <pageSetUpPr/>
  </sheetPr>
  <dimension ref="A1:P55"/>
  <sheetViews>
    <sheetView topLeftCell="A33" zoomScaleNormal="100" workbookViewId="0">
      <selection activeCell="A50" sqref="A50:XFD50"/>
    </sheetView>
  </sheetViews>
  <sheetFormatPr baseColWidth="8" defaultColWidth="8.7109375" defaultRowHeight="15"/>
  <cols>
    <col width="3" customWidth="1" style="170" min="1" max="1"/>
    <col width="32" customWidth="1" style="170" min="2" max="2"/>
    <col width="14" customWidth="1" style="170" min="3" max="16"/>
  </cols>
  <sheetData>
    <row r="1"/>
    <row r="2" ht="36" customHeight="1" s="170">
      <c r="B2" s="2" t="inlineStr">
        <is>
          <t>DISTANČNÍ RÁMEČKY – SpacerSupplier</t>
        </is>
      </c>
    </row>
    <row r="3" ht="45" customHeight="1" s="170">
      <c r="B3" s="32" t="inlineStr">
        <is>
          <t>Analýza cenového dopadu růstu energií – Kvartální výhled Q2–Q3 2026</t>
        </is>
      </c>
    </row>
    <row r="4"/>
    <row r="5" ht="30" customHeight="1" s="170">
      <c r="B5" s="171" t="inlineStr">
        <is>
          <t>ENERGETICKÝ PROFIL VÝROBY</t>
        </is>
      </c>
      <c r="C5" s="173" t="n"/>
      <c r="D5" s="173" t="n"/>
      <c r="E5" s="173" t="n"/>
      <c r="F5" s="173" t="n"/>
      <c r="G5" s="173" t="n"/>
      <c r="H5" s="173" t="n"/>
      <c r="I5" s="173" t="n"/>
    </row>
    <row r="6" ht="25.5" customHeight="1" s="170">
      <c r="B6" s="34" t="inlineStr">
        <is>
          <t>Závislost na ropě (petrochemie, transport)</t>
        </is>
      </c>
      <c r="C6" s="233" t="n">
        <v>0.5</v>
      </c>
    </row>
    <row r="7" ht="15" customHeight="1" s="170">
      <c r="B7" s="34" t="inlineStr">
        <is>
          <t>Závislost na plynu (energie, suroviny)</t>
        </is>
      </c>
      <c r="C7" s="233" t="n">
        <v>0.5</v>
      </c>
    </row>
    <row r="8" ht="25.5" customHeight="1" s="170">
      <c r="B8" s="34" t="inlineStr">
        <is>
          <t>Podíl energetických nákladů na výr. ceně</t>
        </is>
      </c>
      <c r="C8" s="233" t="n">
        <v>0.3</v>
      </c>
    </row>
    <row r="9"/>
    <row r="10" ht="24" customHeight="1" s="170">
      <c r="B10" s="165" t="inlineStr">
        <is>
          <t>VÝROBNÍ PROCES A ENERGETICKÁ NÁROČNOST:</t>
        </is>
      </c>
    </row>
    <row r="11" ht="49.5" customHeight="1" s="170">
      <c r="B11" s="167" t="inlineStr">
        <is>
          <t>SpacerBrandAdvance je kompozitní distanční rámeček z plastu (polypropylenu) vyztuženého nerezovou ocelí a minerálním plnivem. Polypropylen je přímý petrochemický produkt (z propylenu). Výroba nerezových komponent vyžaduje tavení v elektrických obloukových pecích. Extruze plastové části je energeticky náročná.</t>
        </is>
      </c>
    </row>
    <row r="12" ht="39.75" customHeight="1" s="170">
      <c r="B12" s="168" t="inlineStr">
        <is>
          <t>Vyrovnaná závislost (~50/50 %) – polypropylen je ropný derivát, ale výroba ocelových komponent a extruze spotřebovávají především plyn/elektřinu.</t>
        </is>
      </c>
    </row>
    <row r="13"/>
    <row r="14" ht="30" customHeight="1" s="170">
      <c r="B14" s="171" t="inlineStr">
        <is>
          <t>A) CENOVÝ MODEL – JEDNOTKOVÁ CENA</t>
        </is>
      </c>
      <c r="C14" s="173" t="n"/>
      <c r="D14" s="173" t="n"/>
      <c r="E14" s="173" t="n"/>
      <c r="F14" s="173" t="n"/>
      <c r="G14" s="173" t="n"/>
      <c r="H14" s="173" t="n"/>
      <c r="I14" s="173" t="n"/>
      <c r="J14" s="173" t="n"/>
      <c r="K14" s="173" t="n"/>
    </row>
    <row r="15" ht="38.25" customHeight="1" s="170">
      <c r="B15" s="7" t="inlineStr">
        <is>
          <t>Produkt</t>
        </is>
      </c>
      <c r="C15" s="7" t="inlineStr">
        <is>
          <t>Jednotka</t>
        </is>
      </c>
      <c r="D15" s="7" t="inlineStr">
        <is>
          <t>Aktuální cena
(EUR)</t>
        </is>
      </c>
      <c r="E15" s="7" t="inlineStr">
        <is>
          <t>Scénář MÍRNÝ
(nová cena)</t>
        </is>
      </c>
      <c r="F15" s="7" t="inlineStr">
        <is>
          <t>Rozdíl
(EUR)</t>
        </is>
      </c>
      <c r="G15" s="7" t="inlineStr">
        <is>
          <t>Rozdíl
(%)</t>
        </is>
      </c>
      <c r="H15" s="7" t="inlineStr">
        <is>
          <t>Scénář STŘEDNÍ
(nová cena)</t>
        </is>
      </c>
      <c r="I15" s="7" t="inlineStr">
        <is>
          <t>Rozdíl
(EUR)</t>
        </is>
      </c>
      <c r="J15" s="7" t="inlineStr">
        <is>
          <t>Rozdíl
(%)</t>
        </is>
      </c>
      <c r="K15" s="7" t="inlineStr">
        <is>
          <t>Scénář KRIZOVÝ
(nová cena)</t>
        </is>
      </c>
      <c r="L15" s="7" t="inlineStr">
        <is>
          <t>Rozdíl
(EUR)</t>
        </is>
      </c>
      <c r="M15" s="7" t="inlineStr">
        <is>
          <t>Rozdíl
(%)</t>
        </is>
      </c>
    </row>
    <row r="16" ht="15" customHeight="1" s="170">
      <c r="B16" s="163" t="inlineStr">
        <is>
          <t>SpacerBrandAdvance 14mm</t>
        </is>
      </c>
      <c r="C16" s="157" t="inlineStr">
        <is>
          <t>EUR/m</t>
        </is>
      </c>
      <c r="D16" s="202" t="n">
        <v>0.37</v>
      </c>
      <c r="E16" s="204">
        <f>D16*(1+C8*(C6*(Ropa_a_plyn!C8-Ropa_a_plyn!C7)/Ropa_a_plyn!C7*0.3+C7*(Ropa_a_plyn!C17-Ropa_a_plyn!C16)/Ropa_a_plyn!C16*0.3))</f>
        <v/>
      </c>
      <c r="F16" s="234">
        <f>E16-D16</f>
        <v/>
      </c>
      <c r="G16" s="235">
        <f>F16/D16</f>
        <v/>
      </c>
      <c r="H16" s="205">
        <f>D16*(1+C8*(C6*(Ropa_a_plyn!C8-Ropa_a_plyn!C7)/Ropa_a_plyn!C7*0.5+C7*(Ropa_a_plyn!C17-Ropa_a_plyn!C16)/Ropa_a_plyn!C16*0.5))</f>
        <v/>
      </c>
      <c r="I16" s="236">
        <f>H16-D16</f>
        <v/>
      </c>
      <c r="J16" s="237">
        <f>I16/D16</f>
        <v/>
      </c>
      <c r="K16" s="206">
        <f>D16*(1+C8*(C6*(Ropa_a_plyn!C8-Ropa_a_plyn!C7)/Ropa_a_plyn!C7*0.75+C7*(Ropa_a_plyn!C17-Ropa_a_plyn!C16)/Ropa_a_plyn!C16*0.75))</f>
        <v/>
      </c>
      <c r="L16" s="238">
        <f>K16-D16</f>
        <v/>
      </c>
      <c r="M16" s="192">
        <f>L16/D16</f>
        <v/>
      </c>
    </row>
    <row r="17" ht="15" customHeight="1" s="170">
      <c r="B17" s="163" t="inlineStr">
        <is>
          <t>SpacerBrandAdvance 16mm</t>
        </is>
      </c>
      <c r="C17" s="157" t="inlineStr">
        <is>
          <t>EUR/m</t>
        </is>
      </c>
      <c r="D17" s="202" t="n">
        <v>0.381</v>
      </c>
      <c r="E17" s="204">
        <f>D17*(1+C8*(C6*(Ropa_a_plyn!C8-Ropa_a_plyn!C7)/Ropa_a_plyn!C7*0.3+C7*(Ropa_a_plyn!C17-Ropa_a_plyn!C16)/Ropa_a_plyn!C16*0.3))</f>
        <v/>
      </c>
      <c r="F17" s="234">
        <f>E17-D17</f>
        <v/>
      </c>
      <c r="G17" s="235">
        <f>F17/D17</f>
        <v/>
      </c>
      <c r="H17" s="205">
        <f>D17*(1+C8*(C6*(Ropa_a_plyn!C8-Ropa_a_plyn!C7)/Ropa_a_plyn!C7*0.5+C7*(Ropa_a_plyn!C17-Ropa_a_plyn!C16)/Ropa_a_plyn!C16*0.5))</f>
        <v/>
      </c>
      <c r="I17" s="236">
        <f>H17-D17</f>
        <v/>
      </c>
      <c r="J17" s="237">
        <f>I17/D17</f>
        <v/>
      </c>
      <c r="K17" s="206">
        <f>D17*(1+C8*(C6*(Ropa_a_plyn!C8-Ropa_a_plyn!C7)/Ropa_a_plyn!C7*0.75+C7*(Ropa_a_plyn!C17-Ropa_a_plyn!C16)/Ropa_a_plyn!C16*0.75))</f>
        <v/>
      </c>
      <c r="L17" s="238">
        <f>K17-D17</f>
        <v/>
      </c>
      <c r="M17" s="192">
        <f>L17/D17</f>
        <v/>
      </c>
    </row>
    <row r="18" ht="15" customHeight="1" s="170">
      <c r="B18" s="163" t="inlineStr">
        <is>
          <t>SpacerBrandAdvance 18mm</t>
        </is>
      </c>
      <c r="C18" s="157" t="inlineStr">
        <is>
          <t>EUR/m</t>
        </is>
      </c>
      <c r="D18" s="202" t="n">
        <v>0.44</v>
      </c>
      <c r="E18" s="204">
        <f>D18*(1+C8*(C6*(Ropa_a_plyn!C8-Ropa_a_plyn!C7)/Ropa_a_plyn!C7*0.3+C7*(Ropa_a_plyn!C17-Ropa_a_plyn!C16)/Ropa_a_plyn!C16*0.3))</f>
        <v/>
      </c>
      <c r="F18" s="234">
        <f>E18-D18</f>
        <v/>
      </c>
      <c r="G18" s="235">
        <f>F18/D18</f>
        <v/>
      </c>
      <c r="H18" s="205">
        <f>D18*(1+C8*(C6*(Ropa_a_plyn!C8-Ropa_a_plyn!C7)/Ropa_a_plyn!C7*0.5+C7*(Ropa_a_plyn!C17-Ropa_a_plyn!C16)/Ropa_a_plyn!C16*0.5))</f>
        <v/>
      </c>
      <c r="I18" s="236">
        <f>H18-D18</f>
        <v/>
      </c>
      <c r="J18" s="237">
        <f>I18/D18</f>
        <v/>
      </c>
      <c r="K18" s="206">
        <f>D18*(1+C8*(C6*(Ropa_a_plyn!C8-Ropa_a_plyn!C7)/Ropa_a_plyn!C7*0.75+C7*(Ropa_a_plyn!C17-Ropa_a_plyn!C16)/Ropa_a_plyn!C16*0.75))</f>
        <v/>
      </c>
      <c r="L18" s="238">
        <f>K18-D18</f>
        <v/>
      </c>
      <c r="M18" s="192">
        <f>L18/D18</f>
        <v/>
      </c>
    </row>
    <row r="19"/>
    <row r="20"/>
    <row r="21" ht="30" customHeight="1" s="170">
      <c r="B21" s="171" t="inlineStr">
        <is>
          <t>B) OBJEMY A KVARTÁLNÍ FINANČNÍ DOPAD</t>
        </is>
      </c>
      <c r="C21" s="173" t="n"/>
      <c r="D21" s="173" t="n"/>
      <c r="E21" s="173" t="n"/>
      <c r="F21" s="173" t="n"/>
      <c r="G21" s="173" t="n"/>
      <c r="H21" s="173" t="n"/>
      <c r="I21" s="173" t="n"/>
      <c r="J21" s="173" t="n"/>
      <c r="K21" s="173" t="n"/>
      <c r="L21" s="173" t="n"/>
      <c r="M21" s="173" t="n"/>
      <c r="N21" s="173" t="n"/>
    </row>
    <row r="22" ht="25.5" customHeight="1" s="170">
      <c r="B22" s="7" t="inlineStr">
        <is>
          <t>Produkt</t>
        </is>
      </c>
      <c r="C22" s="7" t="inlineStr">
        <is>
          <t>Jednotka</t>
        </is>
      </c>
      <c r="D22" s="7" t="inlineStr">
        <is>
          <t>Měsíční objem</t>
        </is>
      </c>
      <c r="E22" s="7" t="inlineStr">
        <is>
          <t>Q2 2026
(Dub–Čer)</t>
        </is>
      </c>
      <c r="F22" s="7" t="inlineStr">
        <is>
          <t>Q3 2026
(Čec–Zář)</t>
        </is>
      </c>
      <c r="G22" s="7" t="inlineStr">
        <is>
          <t>Celkem
6 měsíců</t>
        </is>
      </c>
    </row>
    <row r="23" ht="15" customHeight="1" s="170">
      <c r="B23" s="163" t="inlineStr">
        <is>
          <t>SpacerBrandAdvance 14mm</t>
        </is>
      </c>
      <c r="C23" s="157" t="inlineStr">
        <is>
          <t>EUR/m</t>
        </is>
      </c>
      <c r="D23" s="40" t="n">
        <v>5000</v>
      </c>
      <c r="E23" s="106">
        <f>D23*3</f>
        <v/>
      </c>
      <c r="F23" s="106">
        <f>D23*3</f>
        <v/>
      </c>
      <c r="G23" s="41">
        <f>E23+F23</f>
        <v/>
      </c>
    </row>
    <row r="24" ht="15" customHeight="1" s="170">
      <c r="B24" s="163" t="inlineStr">
        <is>
          <t>SpacerBrandAdvance 16mm</t>
        </is>
      </c>
      <c r="C24" s="157" t="inlineStr">
        <is>
          <t>EUR/m</t>
        </is>
      </c>
      <c r="D24" s="40" t="n">
        <v>3000</v>
      </c>
      <c r="E24" s="106">
        <f>D24*3</f>
        <v/>
      </c>
      <c r="F24" s="106">
        <f>D24*3</f>
        <v/>
      </c>
      <c r="G24" s="41">
        <f>E24+F24</f>
        <v/>
      </c>
    </row>
    <row r="25" ht="15" customHeight="1" s="170">
      <c r="B25" s="163" t="inlineStr">
        <is>
          <t>SpacerBrandAdvance 18mm</t>
        </is>
      </c>
      <c r="C25" s="157" t="inlineStr">
        <is>
          <t>EUR/m</t>
        </is>
      </c>
      <c r="D25" s="40" t="n">
        <v>2000</v>
      </c>
      <c r="E25" s="106">
        <f>D25*3</f>
        <v/>
      </c>
      <c r="F25" s="106">
        <f>D25*3</f>
        <v/>
      </c>
      <c r="G25" s="41">
        <f>E25+F25</f>
        <v/>
      </c>
    </row>
    <row r="26"/>
    <row r="27" ht="30" customHeight="1" s="170">
      <c r="B27" s="171" t="inlineStr">
        <is>
          <t>C1) FINANČNÍ DOPAD – SCÉNÁŘ MÍRNÝ</t>
        </is>
      </c>
      <c r="C27" s="173" t="n"/>
      <c r="D27" s="173" t="n"/>
      <c r="E27" s="173" t="n"/>
      <c r="F27" s="173" t="n"/>
      <c r="G27" s="173" t="n"/>
      <c r="H27" s="173" t="n"/>
      <c r="I27" s="173" t="n"/>
      <c r="J27" s="173" t="n"/>
      <c r="K27" s="173" t="n"/>
      <c r="L27" s="173" t="n"/>
      <c r="M27" s="173" t="n"/>
      <c r="N27" s="173" t="n"/>
    </row>
    <row r="28" ht="25.5" customHeight="1" s="170">
      <c r="B28" s="7" t="inlineStr">
        <is>
          <t>Produkt</t>
        </is>
      </c>
      <c r="C28" s="7" t="n"/>
      <c r="D28" s="7" t="inlineStr">
        <is>
          <t>Aktuální
jedn. cena</t>
        </is>
      </c>
      <c r="E28" s="7" t="inlineStr">
        <is>
          <t>Nová
jedn. cena</t>
        </is>
      </c>
      <c r="F28" s="7" t="inlineStr">
        <is>
          <t>Náklady Q2
AKTUÁLNÍ</t>
        </is>
      </c>
      <c r="G28" s="7" t="inlineStr">
        <is>
          <t>Náklady Q2
NOVÉ</t>
        </is>
      </c>
      <c r="H28" s="7" t="inlineStr">
        <is>
          <t>Rozdíl Q2
(EUR)</t>
        </is>
      </c>
      <c r="I28" s="7" t="inlineStr">
        <is>
          <t>Náklady Q3
AKTUÁLNÍ</t>
        </is>
      </c>
      <c r="J28" s="7" t="inlineStr">
        <is>
          <t>Náklady Q3
NOVÉ</t>
        </is>
      </c>
      <c r="K28" s="7" t="inlineStr">
        <is>
          <t>Rozdíl Q3
(EUR)</t>
        </is>
      </c>
      <c r="L28" s="7" t="inlineStr">
        <is>
          <t>Celkem 6M
AKTUÁLNÍ</t>
        </is>
      </c>
      <c r="M28" s="7" t="inlineStr">
        <is>
          <t>Celkem 6M
NOVÉ</t>
        </is>
      </c>
      <c r="N28" s="7" t="inlineStr">
        <is>
          <t>Celkový rozdíl
6M (EUR)</t>
        </is>
      </c>
    </row>
    <row r="29" ht="15" customHeight="1" s="170">
      <c r="B29" s="163" t="inlineStr">
        <is>
          <t>SpacerBrandAdvance 14mm</t>
        </is>
      </c>
      <c r="C29" s="157" t="inlineStr">
        <is>
          <t>EUR/m</t>
        </is>
      </c>
      <c r="D29" s="239">
        <f>D16</f>
        <v/>
      </c>
      <c r="E29" s="240">
        <f>E16</f>
        <v/>
      </c>
      <c r="F29" s="241">
        <f>D16*E23</f>
        <v/>
      </c>
      <c r="G29" s="186">
        <f>E16*E23</f>
        <v/>
      </c>
      <c r="H29" s="196">
        <f>G29-F29</f>
        <v/>
      </c>
      <c r="I29" s="241">
        <f>D16*F23</f>
        <v/>
      </c>
      <c r="J29" s="186">
        <f>E16*F23</f>
        <v/>
      </c>
      <c r="K29" s="196">
        <f>J29-I29</f>
        <v/>
      </c>
      <c r="L29" s="242">
        <f>F29+I29</f>
        <v/>
      </c>
      <c r="M29" s="186">
        <f>G29+J29</f>
        <v/>
      </c>
      <c r="N29" s="196">
        <f>M29-L29</f>
        <v/>
      </c>
    </row>
    <row r="30" ht="15" customHeight="1" s="170">
      <c r="B30" s="163" t="inlineStr">
        <is>
          <t>SpacerBrandAdvance 16mm</t>
        </is>
      </c>
      <c r="C30" s="157" t="inlineStr">
        <is>
          <t>EUR/m</t>
        </is>
      </c>
      <c r="D30" s="239">
        <f>D17</f>
        <v/>
      </c>
      <c r="E30" s="240">
        <f>E17</f>
        <v/>
      </c>
      <c r="F30" s="241">
        <f>D17*E24</f>
        <v/>
      </c>
      <c r="G30" s="186">
        <f>E17*E24</f>
        <v/>
      </c>
      <c r="H30" s="196">
        <f>G30-F30</f>
        <v/>
      </c>
      <c r="I30" s="241">
        <f>D17*F24</f>
        <v/>
      </c>
      <c r="J30" s="186">
        <f>E17*F24</f>
        <v/>
      </c>
      <c r="K30" s="196">
        <f>J30-I30</f>
        <v/>
      </c>
      <c r="L30" s="242">
        <f>F30+I30</f>
        <v/>
      </c>
      <c r="M30" s="186">
        <f>G30+J30</f>
        <v/>
      </c>
      <c r="N30" s="196">
        <f>M30-L30</f>
        <v/>
      </c>
    </row>
    <row r="31" ht="15" customHeight="1" s="170">
      <c r="B31" s="163" t="inlineStr">
        <is>
          <t>SpacerBrandAdvance 18mm</t>
        </is>
      </c>
      <c r="C31" s="157" t="inlineStr">
        <is>
          <t>EUR/m</t>
        </is>
      </c>
      <c r="D31" s="239">
        <f>D18</f>
        <v/>
      </c>
      <c r="E31" s="240">
        <f>E18</f>
        <v/>
      </c>
      <c r="F31" s="241">
        <f>D18*E25</f>
        <v/>
      </c>
      <c r="G31" s="186">
        <f>E18*E25</f>
        <v/>
      </c>
      <c r="H31" s="196">
        <f>G31-F31</f>
        <v/>
      </c>
      <c r="I31" s="241">
        <f>D18*F25</f>
        <v/>
      </c>
      <c r="J31" s="186">
        <f>E18*F25</f>
        <v/>
      </c>
      <c r="K31" s="196">
        <f>J31-I31</f>
        <v/>
      </c>
      <c r="L31" s="242">
        <f>F31+I31</f>
        <v/>
      </c>
      <c r="M31" s="186">
        <f>G31+J31</f>
        <v/>
      </c>
      <c r="N31" s="196">
        <f>M31-L31</f>
        <v/>
      </c>
    </row>
    <row r="32" ht="15" customHeight="1" s="170">
      <c r="B32" s="111" t="inlineStr">
        <is>
          <t>CELKEM</t>
        </is>
      </c>
      <c r="C32" s="27" t="n"/>
      <c r="D32" s="27" t="n"/>
      <c r="E32" s="27" t="n"/>
      <c r="F32" s="243">
        <f>SUM(F29:F31)</f>
        <v/>
      </c>
      <c r="G32" s="243">
        <f>SUM(G29:G31)</f>
        <v/>
      </c>
      <c r="H32" s="196">
        <f>SUM(H29:H31)</f>
        <v/>
      </c>
      <c r="I32" s="243">
        <f>SUM(I29:I31)</f>
        <v/>
      </c>
      <c r="J32" s="243">
        <f>SUM(J29:J31)</f>
        <v/>
      </c>
      <c r="K32" s="196">
        <f>SUM(K29:K31)</f>
        <v/>
      </c>
      <c r="L32" s="243">
        <f>SUM(L29:L31)</f>
        <v/>
      </c>
      <c r="M32" s="243">
        <f>SUM(M29:M31)</f>
        <v/>
      </c>
      <c r="N32" s="196">
        <f>SUM(N29:N31)</f>
        <v/>
      </c>
    </row>
    <row r="33"/>
    <row r="34" ht="30" customHeight="1" s="170">
      <c r="B34" s="171" t="inlineStr">
        <is>
          <t>C2) FINANČNÍ DOPAD – SCÉNÁŘ STŘEDNÍ</t>
        </is>
      </c>
      <c r="C34" s="173" t="n"/>
      <c r="D34" s="173" t="n"/>
      <c r="E34" s="173" t="n"/>
      <c r="F34" s="173" t="n"/>
      <c r="G34" s="173" t="n"/>
      <c r="H34" s="173" t="n"/>
      <c r="I34" s="173" t="n"/>
      <c r="J34" s="173" t="n"/>
      <c r="K34" s="173" t="n"/>
      <c r="L34" s="173" t="n"/>
      <c r="M34" s="173" t="n"/>
      <c r="N34" s="173" t="n"/>
    </row>
    <row r="35" ht="25.5" customHeight="1" s="170">
      <c r="B35" s="7" t="inlineStr">
        <is>
          <t>Produkt</t>
        </is>
      </c>
      <c r="C35" s="7" t="n"/>
      <c r="D35" s="7" t="inlineStr">
        <is>
          <t>Aktuální
jedn. cena</t>
        </is>
      </c>
      <c r="E35" s="7" t="inlineStr">
        <is>
          <t>Nová
jedn. cena</t>
        </is>
      </c>
      <c r="F35" s="7" t="inlineStr">
        <is>
          <t>Náklady Q2
AKTUÁLNÍ</t>
        </is>
      </c>
      <c r="G35" s="7" t="inlineStr">
        <is>
          <t>Náklady Q2
NOVÉ</t>
        </is>
      </c>
      <c r="H35" s="7" t="inlineStr">
        <is>
          <t>Rozdíl Q2
(EUR)</t>
        </is>
      </c>
      <c r="I35" s="7" t="inlineStr">
        <is>
          <t>Náklady Q3
AKTUÁLNÍ</t>
        </is>
      </c>
      <c r="J35" s="7" t="inlineStr">
        <is>
          <t>Náklady Q3
NOVÉ</t>
        </is>
      </c>
      <c r="K35" s="7" t="inlineStr">
        <is>
          <t>Rozdíl Q3
(EUR)</t>
        </is>
      </c>
      <c r="L35" s="7" t="inlineStr">
        <is>
          <t>Celkem 6M
AKTUÁLNÍ</t>
        </is>
      </c>
      <c r="M35" s="7" t="inlineStr">
        <is>
          <t>Celkem 6M
NOVÉ</t>
        </is>
      </c>
      <c r="N35" s="7" t="inlineStr">
        <is>
          <t>Celkový rozdíl
6M (EUR)</t>
        </is>
      </c>
    </row>
    <row r="36" ht="15" customHeight="1" s="170">
      <c r="B36" s="163" t="inlineStr">
        <is>
          <t>SpacerBrandAdvance 14mm</t>
        </is>
      </c>
      <c r="C36" s="157" t="inlineStr">
        <is>
          <t>EUR/m</t>
        </is>
      </c>
      <c r="D36" s="239">
        <f>D16</f>
        <v/>
      </c>
      <c r="E36" s="244">
        <f>H16</f>
        <v/>
      </c>
      <c r="F36" s="241">
        <f>D16*E23</f>
        <v/>
      </c>
      <c r="G36" s="189">
        <f>H16*E23</f>
        <v/>
      </c>
      <c r="H36" s="196">
        <f>G36-F36</f>
        <v/>
      </c>
      <c r="I36" s="241">
        <f>D16*F23</f>
        <v/>
      </c>
      <c r="J36" s="189">
        <f>H16*F23</f>
        <v/>
      </c>
      <c r="K36" s="196">
        <f>J36-I36</f>
        <v/>
      </c>
      <c r="L36" s="242">
        <f>F36+I36</f>
        <v/>
      </c>
      <c r="M36" s="189">
        <f>G36+J36</f>
        <v/>
      </c>
      <c r="N36" s="196">
        <f>M36-L36</f>
        <v/>
      </c>
    </row>
    <row r="37" ht="15" customHeight="1" s="170">
      <c r="B37" s="163" t="inlineStr">
        <is>
          <t>SpacerBrandAdvance 16mm</t>
        </is>
      </c>
      <c r="C37" s="157" t="inlineStr">
        <is>
          <t>EUR/m</t>
        </is>
      </c>
      <c r="D37" s="239">
        <f>D17</f>
        <v/>
      </c>
      <c r="E37" s="244">
        <f>H17</f>
        <v/>
      </c>
      <c r="F37" s="241">
        <f>D17*E24</f>
        <v/>
      </c>
      <c r="G37" s="189">
        <f>H17*E24</f>
        <v/>
      </c>
      <c r="H37" s="196">
        <f>G37-F37</f>
        <v/>
      </c>
      <c r="I37" s="241">
        <f>D17*F24</f>
        <v/>
      </c>
      <c r="J37" s="189">
        <f>H17*F24</f>
        <v/>
      </c>
      <c r="K37" s="196">
        <f>J37-I37</f>
        <v/>
      </c>
      <c r="L37" s="242">
        <f>F37+I37</f>
        <v/>
      </c>
      <c r="M37" s="189">
        <f>G37+J37</f>
        <v/>
      </c>
      <c r="N37" s="196">
        <f>M37-L37</f>
        <v/>
      </c>
    </row>
    <row r="38" ht="15" customHeight="1" s="170">
      <c r="B38" s="163" t="inlineStr">
        <is>
          <t>SpacerBrandAdvance 18mm</t>
        </is>
      </c>
      <c r="C38" s="157" t="inlineStr">
        <is>
          <t>EUR/m</t>
        </is>
      </c>
      <c r="D38" s="239">
        <f>D18</f>
        <v/>
      </c>
      <c r="E38" s="244">
        <f>H18</f>
        <v/>
      </c>
      <c r="F38" s="241">
        <f>D18*E25</f>
        <v/>
      </c>
      <c r="G38" s="189">
        <f>H18*E25</f>
        <v/>
      </c>
      <c r="H38" s="196">
        <f>G38-F38</f>
        <v/>
      </c>
      <c r="I38" s="241">
        <f>D18*F25</f>
        <v/>
      </c>
      <c r="J38" s="189">
        <f>H18*F25</f>
        <v/>
      </c>
      <c r="K38" s="196">
        <f>J38-I38</f>
        <v/>
      </c>
      <c r="L38" s="242">
        <f>F38+I38</f>
        <v/>
      </c>
      <c r="M38" s="189">
        <f>G38+J38</f>
        <v/>
      </c>
      <c r="N38" s="196">
        <f>M38-L38</f>
        <v/>
      </c>
    </row>
    <row r="39" ht="15" customHeight="1" s="170">
      <c r="B39" s="111" t="inlineStr">
        <is>
          <t>CELKEM</t>
        </is>
      </c>
      <c r="C39" s="27" t="n"/>
      <c r="D39" s="27" t="n"/>
      <c r="E39" s="27" t="n"/>
      <c r="F39" s="243">
        <f>SUM(F36:F38)</f>
        <v/>
      </c>
      <c r="G39" s="243">
        <f>SUM(G36:G38)</f>
        <v/>
      </c>
      <c r="H39" s="196">
        <f>SUM(H36:H38)</f>
        <v/>
      </c>
      <c r="I39" s="243">
        <f>SUM(I36:I38)</f>
        <v/>
      </c>
      <c r="J39" s="243">
        <f>SUM(J36:J38)</f>
        <v/>
      </c>
      <c r="K39" s="196">
        <f>SUM(K36:K38)</f>
        <v/>
      </c>
      <c r="L39" s="243">
        <f>SUM(L36:L38)</f>
        <v/>
      </c>
      <c r="M39" s="243">
        <f>SUM(M36:M38)</f>
        <v/>
      </c>
      <c r="N39" s="196">
        <f>SUM(N36:N38)</f>
        <v/>
      </c>
    </row>
    <row r="40"/>
    <row r="41" ht="30" customHeight="1" s="170">
      <c r="B41" s="171" t="inlineStr">
        <is>
          <t>C3) FINANČNÍ DOPAD – SCÉNÁŘ KRIZOVÝ</t>
        </is>
      </c>
      <c r="C41" s="173" t="n"/>
      <c r="D41" s="173" t="n"/>
      <c r="E41" s="173" t="n"/>
      <c r="F41" s="173" t="n"/>
      <c r="G41" s="173" t="n"/>
      <c r="H41" s="173" t="n"/>
      <c r="I41" s="173" t="n"/>
      <c r="J41" s="173" t="n"/>
      <c r="K41" s="173" t="n"/>
      <c r="L41" s="173" t="n"/>
      <c r="M41" s="173" t="n"/>
      <c r="N41" s="173" t="n"/>
    </row>
    <row r="42" ht="25.5" customHeight="1" s="170">
      <c r="B42" s="7" t="inlineStr">
        <is>
          <t>Produkt</t>
        </is>
      </c>
      <c r="C42" s="7" t="n"/>
      <c r="D42" s="7" t="inlineStr">
        <is>
          <t>Aktuální
jedn. cena</t>
        </is>
      </c>
      <c r="E42" s="7" t="inlineStr">
        <is>
          <t>Nová
jedn. cena</t>
        </is>
      </c>
      <c r="F42" s="7" t="inlineStr">
        <is>
          <t>Náklady Q2
AKTUÁLNÍ</t>
        </is>
      </c>
      <c r="G42" s="7" t="inlineStr">
        <is>
          <t>Náklady Q2
NOVÉ</t>
        </is>
      </c>
      <c r="H42" s="7" t="inlineStr">
        <is>
          <t>Rozdíl Q2
(EUR)</t>
        </is>
      </c>
      <c r="I42" s="7" t="inlineStr">
        <is>
          <t>Náklady Q3
AKTUÁLNÍ</t>
        </is>
      </c>
      <c r="J42" s="7" t="inlineStr">
        <is>
          <t>Náklady Q3
NOVÉ</t>
        </is>
      </c>
      <c r="K42" s="7" t="inlineStr">
        <is>
          <t>Rozdíl Q3
(EUR)</t>
        </is>
      </c>
      <c r="L42" s="7" t="inlineStr">
        <is>
          <t>Celkem 6M
AKTUÁLNÍ</t>
        </is>
      </c>
      <c r="M42" s="7" t="inlineStr">
        <is>
          <t>Celkem 6M
NOVÉ</t>
        </is>
      </c>
      <c r="N42" s="7" t="inlineStr">
        <is>
          <t>Celkový rozdíl
6M (EUR)</t>
        </is>
      </c>
    </row>
    <row r="43" ht="15" customHeight="1" s="170">
      <c r="B43" s="163" t="inlineStr">
        <is>
          <t>SpacerBrandAdvance 14mm</t>
        </is>
      </c>
      <c r="C43" s="157" t="inlineStr">
        <is>
          <t>EUR/m</t>
        </is>
      </c>
      <c r="D43" s="239">
        <f>D16</f>
        <v/>
      </c>
      <c r="E43" s="245">
        <f>K16</f>
        <v/>
      </c>
      <c r="F43" s="241">
        <f>D16*E23</f>
        <v/>
      </c>
      <c r="G43" s="193">
        <f>K16*E23</f>
        <v/>
      </c>
      <c r="H43" s="196">
        <f>G43-F43</f>
        <v/>
      </c>
      <c r="I43" s="241">
        <f>D16*F23</f>
        <v/>
      </c>
      <c r="J43" s="193">
        <f>K16*F23</f>
        <v/>
      </c>
      <c r="K43" s="196">
        <f>J43-I43</f>
        <v/>
      </c>
      <c r="L43" s="242">
        <f>F43+I43</f>
        <v/>
      </c>
      <c r="M43" s="193">
        <f>G43+J43</f>
        <v/>
      </c>
      <c r="N43" s="196">
        <f>M43-L43</f>
        <v/>
      </c>
    </row>
    <row r="44" ht="15" customHeight="1" s="170">
      <c r="B44" s="163" t="inlineStr">
        <is>
          <t>SpacerBrandAdvance 16mm</t>
        </is>
      </c>
      <c r="C44" s="157" t="inlineStr">
        <is>
          <t>EUR/m</t>
        </is>
      </c>
      <c r="D44" s="239">
        <f>D17</f>
        <v/>
      </c>
      <c r="E44" s="245">
        <f>K17</f>
        <v/>
      </c>
      <c r="F44" s="241">
        <f>D17*E24</f>
        <v/>
      </c>
      <c r="G44" s="193">
        <f>K17*E24</f>
        <v/>
      </c>
      <c r="H44" s="196">
        <f>G44-F44</f>
        <v/>
      </c>
      <c r="I44" s="241">
        <f>D17*F24</f>
        <v/>
      </c>
      <c r="J44" s="193">
        <f>K17*F24</f>
        <v/>
      </c>
      <c r="K44" s="196">
        <f>J44-I44</f>
        <v/>
      </c>
      <c r="L44" s="242">
        <f>F44+I44</f>
        <v/>
      </c>
      <c r="M44" s="193">
        <f>G44+J44</f>
        <v/>
      </c>
      <c r="N44" s="196">
        <f>M44-L44</f>
        <v/>
      </c>
    </row>
    <row r="45" ht="15" customHeight="1" s="170">
      <c r="B45" s="163" t="inlineStr">
        <is>
          <t>SpacerBrandAdvance 18mm</t>
        </is>
      </c>
      <c r="C45" s="157" t="inlineStr">
        <is>
          <t>EUR/m</t>
        </is>
      </c>
      <c r="D45" s="239">
        <f>D18</f>
        <v/>
      </c>
      <c r="E45" s="245">
        <f>K18</f>
        <v/>
      </c>
      <c r="F45" s="241">
        <f>D18*E25</f>
        <v/>
      </c>
      <c r="G45" s="193">
        <f>K18*E25</f>
        <v/>
      </c>
      <c r="H45" s="196">
        <f>G45-F45</f>
        <v/>
      </c>
      <c r="I45" s="241">
        <f>D18*F25</f>
        <v/>
      </c>
      <c r="J45" s="193">
        <f>K18*F25</f>
        <v/>
      </c>
      <c r="K45" s="196">
        <f>J45-I45</f>
        <v/>
      </c>
      <c r="L45" s="242">
        <f>F45+I45</f>
        <v/>
      </c>
      <c r="M45" s="193">
        <f>G45+J45</f>
        <v/>
      </c>
      <c r="N45" s="196">
        <f>M45-L45</f>
        <v/>
      </c>
    </row>
    <row r="46" ht="15" customHeight="1" s="170">
      <c r="B46" s="111" t="inlineStr">
        <is>
          <t>CELKEM</t>
        </is>
      </c>
      <c r="C46" s="27" t="n"/>
      <c r="D46" s="27" t="n"/>
      <c r="E46" s="27" t="n"/>
      <c r="F46" s="243">
        <f>SUM(F43:F45)</f>
        <v/>
      </c>
      <c r="G46" s="243">
        <f>SUM(G43:G45)</f>
        <v/>
      </c>
      <c r="H46" s="196">
        <f>SUM(H43:H45)</f>
        <v/>
      </c>
      <c r="I46" s="243">
        <f>SUM(I43:I45)</f>
        <v/>
      </c>
      <c r="J46" s="243">
        <f>SUM(J43:J45)</f>
        <v/>
      </c>
      <c r="K46" s="196">
        <f>SUM(K43:K45)</f>
        <v/>
      </c>
      <c r="L46" s="243">
        <f>SUM(L43:L45)</f>
        <v/>
      </c>
      <c r="M46" s="243">
        <f>SUM(M43:M45)</f>
        <v/>
      </c>
      <c r="N46" s="196">
        <f>SUM(N43:N45)</f>
        <v/>
      </c>
    </row>
    <row r="47"/>
    <row r="48"/>
    <row r="49" ht="26.25" customHeight="1" s="170">
      <c r="B49" s="171" t="inlineStr">
        <is>
          <t>D) PREDIKCE vs. REALITA – POROVNÁNÍ S DODAVATELEM</t>
        </is>
      </c>
      <c r="C49" s="173" t="n"/>
      <c r="D49" s="173" t="n"/>
      <c r="E49" s="173" t="n"/>
      <c r="F49" s="173" t="n"/>
      <c r="G49" s="173" t="n"/>
      <c r="H49" s="173" t="n"/>
      <c r="I49" s="173" t="n"/>
      <c r="J49" s="173" t="n"/>
      <c r="K49" s="173" t="n"/>
      <c r="L49" s="173" t="n"/>
      <c r="M49" s="173" t="n"/>
      <c r="N49" s="173" t="n"/>
      <c r="O49" s="173" t="n"/>
    </row>
    <row r="50" ht="25.5" customHeight="1" s="170">
      <c r="B50" s="7" t="inlineStr">
        <is>
          <t>Produkt</t>
        </is>
      </c>
      <c r="C50" s="7" t="inlineStr">
        <is>
          <t>Jednotka</t>
        </is>
      </c>
      <c r="D50" s="7" t="inlineStr">
        <is>
          <t>Aktuální
cena</t>
        </is>
      </c>
      <c r="E50" s="7" t="inlineStr">
        <is>
          <t>Predikce
MÍRNÝ</t>
        </is>
      </c>
      <c r="F50" s="7" t="inlineStr">
        <is>
          <t>Predikce
STŘEDNÍ</t>
        </is>
      </c>
      <c r="G50" s="7" t="inlineStr">
        <is>
          <t>Predikce
KRIZOVÝ</t>
        </is>
      </c>
      <c r="H50" s="7" t="inlineStr">
        <is>
          <t>Reálná nová
cena (EUR)</t>
        </is>
      </c>
      <c r="I50" s="7" t="inlineStr">
        <is>
          <t>Reálné
zdražení (%)</t>
        </is>
      </c>
      <c r="J50" s="7" t="inlineStr">
        <is>
          <t>Reálný vs.
Mírný</t>
        </is>
      </c>
      <c r="K50" s="7" t="inlineStr">
        <is>
          <t>Reálný vs.
Střední</t>
        </is>
      </c>
      <c r="L50" s="7" t="inlineStr">
        <is>
          <t>Reálný vs.
Krizový</t>
        </is>
      </c>
      <c r="M50" s="7" t="inlineStr">
        <is>
          <t>Měs. objem</t>
        </is>
      </c>
      <c r="N50" s="7" t="inlineStr">
        <is>
          <t>Reálný dopad
měsíční (EUR)</t>
        </is>
      </c>
      <c r="O50" s="7" t="inlineStr">
        <is>
          <t>Reálný dopad
6M (EUR)</t>
        </is>
      </c>
      <c r="P50" s="155" t="inlineStr">
        <is>
          <t>Zdražení
od</t>
        </is>
      </c>
    </row>
    <row r="51" ht="15" customHeight="1" s="170">
      <c r="B51" s="163" t="inlineStr">
        <is>
          <t>SpacerBrandAdvance 14mm</t>
        </is>
      </c>
      <c r="C51" s="157" t="inlineStr">
        <is>
          <t>EUR/m</t>
        </is>
      </c>
      <c r="D51" s="239">
        <f>D16</f>
        <v/>
      </c>
      <c r="E51" s="240">
        <f>E16</f>
        <v/>
      </c>
      <c r="F51" s="244">
        <f>H16</f>
        <v/>
      </c>
      <c r="G51" s="245">
        <f>K16</f>
        <v/>
      </c>
      <c r="H51" s="48" t="inlineStr">
        <is>
          <t>Doplnit</t>
        </is>
      </c>
      <c r="I51" s="49" t="inlineStr">
        <is>
          <t>Čekáme</t>
        </is>
      </c>
      <c r="J51" s="49" t="inlineStr">
        <is>
          <t>–</t>
        </is>
      </c>
      <c r="K51" s="49" t="inlineStr">
        <is>
          <t>–</t>
        </is>
      </c>
      <c r="L51" s="49" t="inlineStr">
        <is>
          <t>–</t>
        </is>
      </c>
      <c r="M51" s="49" t="inlineStr">
        <is>
          <t>–</t>
        </is>
      </c>
      <c r="N51" s="49" t="inlineStr">
        <is>
          <t>–</t>
        </is>
      </c>
      <c r="O51" s="49" t="inlineStr">
        <is>
          <t>–</t>
        </is>
      </c>
      <c r="P51" s="50" t="inlineStr">
        <is>
          <t>Čekáme</t>
        </is>
      </c>
    </row>
    <row r="52" ht="15" customHeight="1" s="170">
      <c r="B52" s="163" t="inlineStr">
        <is>
          <t>SpacerBrandAdvance 16mm</t>
        </is>
      </c>
      <c r="C52" s="157" t="inlineStr">
        <is>
          <t>EUR/m</t>
        </is>
      </c>
      <c r="D52" s="239">
        <f>D17</f>
        <v/>
      </c>
      <c r="E52" s="240">
        <f>E17</f>
        <v/>
      </c>
      <c r="F52" s="244">
        <f>H17</f>
        <v/>
      </c>
      <c r="G52" s="245">
        <f>K17</f>
        <v/>
      </c>
      <c r="H52" s="48" t="inlineStr">
        <is>
          <t>Doplnit</t>
        </is>
      </c>
      <c r="I52" s="49" t="inlineStr">
        <is>
          <t>Čekáme</t>
        </is>
      </c>
      <c r="J52" s="49" t="inlineStr">
        <is>
          <t>–</t>
        </is>
      </c>
      <c r="K52" s="49" t="inlineStr">
        <is>
          <t>–</t>
        </is>
      </c>
      <c r="L52" s="49" t="inlineStr">
        <is>
          <t>–</t>
        </is>
      </c>
      <c r="M52" s="49" t="inlineStr">
        <is>
          <t>–</t>
        </is>
      </c>
      <c r="N52" s="49" t="inlineStr">
        <is>
          <t>–</t>
        </is>
      </c>
      <c r="O52" s="49" t="inlineStr">
        <is>
          <t>–</t>
        </is>
      </c>
      <c r="P52" s="50" t="inlineStr">
        <is>
          <t>Čekáme</t>
        </is>
      </c>
    </row>
    <row r="53" ht="15" customHeight="1" s="170">
      <c r="B53" s="163" t="inlineStr">
        <is>
          <t>SpacerBrandAdvance 18mm</t>
        </is>
      </c>
      <c r="C53" s="157" t="inlineStr">
        <is>
          <t>EUR/m</t>
        </is>
      </c>
      <c r="D53" s="239">
        <f>D18</f>
        <v/>
      </c>
      <c r="E53" s="240">
        <f>E18</f>
        <v/>
      </c>
      <c r="F53" s="244">
        <f>H18</f>
        <v/>
      </c>
      <c r="G53" s="245">
        <f>K18</f>
        <v/>
      </c>
      <c r="H53" s="48" t="inlineStr">
        <is>
          <t>Doplnit</t>
        </is>
      </c>
      <c r="I53" s="49" t="inlineStr">
        <is>
          <t>Čekáme</t>
        </is>
      </c>
      <c r="J53" s="49" t="inlineStr">
        <is>
          <t>–</t>
        </is>
      </c>
      <c r="K53" s="49" t="inlineStr">
        <is>
          <t>–</t>
        </is>
      </c>
      <c r="L53" s="49" t="inlineStr">
        <is>
          <t>–</t>
        </is>
      </c>
      <c r="M53" s="49" t="inlineStr">
        <is>
          <t>–</t>
        </is>
      </c>
      <c r="N53" s="49" t="inlineStr">
        <is>
          <t>–</t>
        </is>
      </c>
      <c r="O53" s="49" t="inlineStr">
        <is>
          <t>–</t>
        </is>
      </c>
      <c r="P53" s="50" t="inlineStr">
        <is>
          <t>Čekáme</t>
        </is>
      </c>
    </row>
    <row r="54"/>
    <row r="55" ht="15" customHeight="1" s="170">
      <c r="B55" s="165" t="inlineStr">
        <is>
          <t>Status:</t>
        </is>
      </c>
      <c r="C55" s="162" t="inlineStr">
        <is>
          <t>⏳ Čekáme na vyjádření dodavatele. Doplňte reálnou cenu po obdržení nabídky.</t>
        </is>
      </c>
    </row>
  </sheetData>
  <mergeCells count="3">
    <mergeCell ref="B12:J12"/>
    <mergeCell ref="B11:J11"/>
    <mergeCell ref="C55:L55"/>
  </mergeCells>
  <pageMargins left="0.75" right="0.75" top="1" bottom="1" header="0.511811023622047" footer="0.511811023622047"/>
  <pageSetup orientation="portrait" paperSize="9" horizontalDpi="300" verticalDpi="300"/>
  <legacyDrawing xmlns:r="http://schemas.openxmlformats.org/officeDocument/2006/relationships" r:id="anysvml"/>
</worksheet>
</file>

<file path=xl/worksheets/sheet12.xml><?xml version="1.0" encoding="utf-8"?>
<worksheet xmlns="http://schemas.openxmlformats.org/spreadsheetml/2006/main">
  <sheetPr>
    <tabColor rgb="FF0D47A1"/>
    <outlinePr summaryBelow="1" summaryRight="1"/>
    <pageSetUpPr/>
  </sheetPr>
  <dimension ref="A1:P49"/>
  <sheetViews>
    <sheetView topLeftCell="A24" zoomScaleNormal="100" workbookViewId="0">
      <selection activeCell="P45" sqref="P45"/>
    </sheetView>
  </sheetViews>
  <sheetFormatPr baseColWidth="8" defaultColWidth="8.7109375" defaultRowHeight="15"/>
  <cols>
    <col width="3" customWidth="1" style="170" min="1" max="1"/>
    <col width="32" customWidth="1" style="170" min="2" max="2"/>
    <col width="14" customWidth="1" style="170" min="3" max="16"/>
  </cols>
  <sheetData>
    <row r="1"/>
    <row r="2" ht="36" customHeight="1" s="170">
      <c r="B2" s="2" t="inlineStr">
        <is>
          <t>FLOAT SKLO – SupplierA (Demo Industrial)</t>
        </is>
      </c>
    </row>
    <row r="3" ht="45" customHeight="1" s="170">
      <c r="B3" s="32" t="inlineStr">
        <is>
          <t>Analýza cenového dopadu růstu energií – Kvartální výhled Q2–Q3 2026</t>
        </is>
      </c>
    </row>
    <row r="4"/>
    <row r="5" ht="30" customHeight="1" s="170">
      <c r="B5" s="171" t="inlineStr">
        <is>
          <t>ENERGETICKÝ PROFIL VÝROBY</t>
        </is>
      </c>
      <c r="C5" s="173" t="n"/>
      <c r="D5" s="173" t="n"/>
      <c r="E5" s="173" t="n"/>
      <c r="F5" s="173" t="n"/>
      <c r="G5" s="173" t="n"/>
      <c r="H5" s="173" t="n"/>
      <c r="I5" s="173" t="n"/>
    </row>
    <row r="6" ht="25.5" customHeight="1" s="170">
      <c r="B6" s="34" t="inlineStr">
        <is>
          <t>Závislost na ropě (petrochemie, transport)</t>
        </is>
      </c>
      <c r="C6" s="233" t="n">
        <v>0.15</v>
      </c>
    </row>
    <row r="7" ht="15" customHeight="1" s="170">
      <c r="B7" s="34" t="inlineStr">
        <is>
          <t>Závislost na plynu (energie, suroviny)</t>
        </is>
      </c>
      <c r="C7" s="233" t="n">
        <v>0.85</v>
      </c>
    </row>
    <row r="8" ht="25.5" customHeight="1" s="170">
      <c r="B8" s="34" t="inlineStr">
        <is>
          <t>Podíl energetických nákladů na výr. ceně</t>
        </is>
      </c>
      <c r="C8" s="233" t="n">
        <v>0.45</v>
      </c>
    </row>
    <row r="9"/>
    <row r="10" ht="24" customHeight="1" s="170">
      <c r="B10" s="165" t="inlineStr">
        <is>
          <t>VÝROBNÍ PROCES A ENERGETICKÁ NÁROČNOST:</t>
        </is>
      </c>
    </row>
    <row r="11" ht="49.5" customHeight="1" s="170">
      <c r="B11" s="167" t="inlineStr">
        <is>
          <t>Float sklo se vyrábí tavením sklářského kmene (křemenný písek, soda, vápenec) při teplotě ~1600 °C ve vanových pecích, které jsou vytápěny převážně zemním plynem. Toto je jeden z nejenergeticky náročnějších průmyslových procesů. U CoatedBrandPremiumN přistupuje ještě magnetronový pokovení (sputtering) ve vakuové komoře – další energeticky náročný krok.</t>
        </is>
      </c>
    </row>
    <row r="12" ht="39.75" customHeight="1" s="170">
      <c r="B12" s="168" t="inlineStr">
        <is>
          <t>Velmi vysoká závislost na plynu (~85 %) – vanové pece běží 24/7 na zemní plyn. Ropa (~15 %) se podílí na transportu surovin a hotových výrobků. Sklo má nejvyšší energetický podíl na ceně ze všech materiálů v tomto modelu.</t>
        </is>
      </c>
    </row>
    <row r="13"/>
    <row r="14" ht="30" customHeight="1" s="170">
      <c r="B14" s="171" t="inlineStr">
        <is>
          <t>A) CENOVÝ MODEL – JEDNOTKOVÁ CENA</t>
        </is>
      </c>
      <c r="C14" s="173" t="n"/>
      <c r="D14" s="173" t="n"/>
      <c r="E14" s="173" t="n"/>
      <c r="F14" s="173" t="n"/>
      <c r="G14" s="173" t="n"/>
      <c r="H14" s="173" t="n"/>
      <c r="I14" s="173" t="n"/>
      <c r="J14" s="173" t="n"/>
      <c r="K14" s="173" t="n"/>
    </row>
    <row r="15" ht="38.25" customHeight="1" s="170">
      <c r="B15" s="7" t="inlineStr">
        <is>
          <t>Produkt</t>
        </is>
      </c>
      <c r="C15" s="7" t="inlineStr">
        <is>
          <t>Jednotka</t>
        </is>
      </c>
      <c r="D15" s="7" t="inlineStr">
        <is>
          <t>Aktuální cena
(EUR)</t>
        </is>
      </c>
      <c r="E15" s="7" t="inlineStr">
        <is>
          <t>Scénář MÍRNÝ
(nová cena)</t>
        </is>
      </c>
      <c r="F15" s="7" t="inlineStr">
        <is>
          <t>Rozdíl
(EUR)</t>
        </is>
      </c>
      <c r="G15" s="7" t="inlineStr">
        <is>
          <t>Rozdíl
(%)</t>
        </is>
      </c>
      <c r="H15" s="7" t="inlineStr">
        <is>
          <t>Scénář STŘEDNÍ
(nová cena)</t>
        </is>
      </c>
      <c r="I15" s="7" t="inlineStr">
        <is>
          <t>Rozdíl
(EUR)</t>
        </is>
      </c>
      <c r="J15" s="7" t="inlineStr">
        <is>
          <t>Rozdíl
(%)</t>
        </is>
      </c>
      <c r="K15" s="7" t="inlineStr">
        <is>
          <t>Scénář KRIZOVÝ
(nová cena)</t>
        </is>
      </c>
      <c r="L15" s="7" t="inlineStr">
        <is>
          <t>Rozdíl
(EUR)</t>
        </is>
      </c>
      <c r="M15" s="7" t="inlineStr">
        <is>
          <t>Rozdíl
(%)</t>
        </is>
      </c>
    </row>
    <row r="16" ht="15" customHeight="1" s="170">
      <c r="B16" s="163" t="inlineStr">
        <is>
          <t>FloatBrandClear 4mm</t>
        </is>
      </c>
      <c r="C16" s="157" t="inlineStr">
        <is>
          <t>EUR/m²</t>
        </is>
      </c>
      <c r="D16" s="202" t="n">
        <v>4.68</v>
      </c>
      <c r="E16" s="204">
        <f>D16*(1+C8*(C6*(Ropa_a_plyn!C8-Ropa_a_plyn!C7)/Ropa_a_plyn!C7*0.3+C7*(Ropa_a_plyn!C17-Ropa_a_plyn!C16)/Ropa_a_plyn!C16*0.3))</f>
        <v/>
      </c>
      <c r="F16" s="234">
        <f>E16-D16</f>
        <v/>
      </c>
      <c r="G16" s="235">
        <f>F16/D16</f>
        <v/>
      </c>
      <c r="H16" s="205">
        <f>D16*(1+C8*(C6*(Ropa_a_plyn!C8-Ropa_a_plyn!C7)/Ropa_a_plyn!C7*0.5+C7*(Ropa_a_plyn!C17-Ropa_a_plyn!C16)/Ropa_a_plyn!C16*0.5))</f>
        <v/>
      </c>
      <c r="I16" s="236">
        <f>H16-D16</f>
        <v/>
      </c>
      <c r="J16" s="237">
        <f>I16/D16</f>
        <v/>
      </c>
      <c r="K16" s="206">
        <f>D16*(1+C8*(C6*(Ropa_a_plyn!C8-Ropa_a_plyn!C7)/Ropa_a_plyn!C7*0.75+C7*(Ropa_a_plyn!C17-Ropa_a_plyn!C16)/Ropa_a_plyn!C16*0.75))</f>
        <v/>
      </c>
      <c r="L16" s="238">
        <f>K16-D16</f>
        <v/>
      </c>
      <c r="M16" s="192">
        <f>L16/D16</f>
        <v/>
      </c>
    </row>
    <row r="17" ht="15" customHeight="1" s="170">
      <c r="B17" s="163" t="inlineStr">
        <is>
          <t>CoatedBrandPremiumN 4mm</t>
        </is>
      </c>
      <c r="C17" s="157" t="inlineStr">
        <is>
          <t>EUR/m²</t>
        </is>
      </c>
      <c r="D17" s="202" t="n">
        <v>5.83</v>
      </c>
      <c r="E17" s="204">
        <f>D17*(1+C8*(C6*(Ropa_a_plyn!C8-Ropa_a_plyn!C7)/Ropa_a_plyn!C7*0.3+C7*(Ropa_a_plyn!C17-Ropa_a_plyn!C16)/Ropa_a_plyn!C16*0.3))</f>
        <v/>
      </c>
      <c r="F17" s="234">
        <f>E17-D17</f>
        <v/>
      </c>
      <c r="G17" s="235">
        <f>F17/D17</f>
        <v/>
      </c>
      <c r="H17" s="205">
        <f>D17*(1+C8*(C6*(Ropa_a_plyn!C8-Ropa_a_plyn!C7)/Ropa_a_plyn!C7*0.5+C7*(Ropa_a_plyn!C17-Ropa_a_plyn!C16)/Ropa_a_plyn!C16*0.5))</f>
        <v/>
      </c>
      <c r="I17" s="236">
        <f>H17-D17</f>
        <v/>
      </c>
      <c r="J17" s="237">
        <f>I17/D17</f>
        <v/>
      </c>
      <c r="K17" s="206">
        <f>D17*(1+C8*(C6*(Ropa_a_plyn!C8-Ropa_a_plyn!C7)/Ropa_a_plyn!C7*0.75+C7*(Ropa_a_plyn!C17-Ropa_a_plyn!C16)/Ropa_a_plyn!C16*0.75))</f>
        <v/>
      </c>
      <c r="L17" s="238">
        <f>K17-D17</f>
        <v/>
      </c>
      <c r="M17" s="192">
        <f>L17/D17</f>
        <v/>
      </c>
    </row>
    <row r="18"/>
    <row r="19"/>
    <row r="20" ht="30" customHeight="1" s="170">
      <c r="B20" s="171" t="inlineStr">
        <is>
          <t>B) OBJEMY A KVARTÁLNÍ FINANČNÍ DOPAD</t>
        </is>
      </c>
      <c r="C20" s="173" t="n"/>
      <c r="D20" s="173" t="n"/>
      <c r="E20" s="173" t="n"/>
      <c r="F20" s="173" t="n"/>
      <c r="G20" s="173" t="n"/>
      <c r="H20" s="173" t="n"/>
      <c r="I20" s="173" t="n"/>
      <c r="J20" s="173" t="n"/>
      <c r="K20" s="173" t="n"/>
      <c r="L20" s="173" t="n"/>
      <c r="M20" s="173" t="n"/>
      <c r="N20" s="173" t="n"/>
    </row>
    <row r="21" ht="25.5" customHeight="1" s="170">
      <c r="B21" s="7" t="inlineStr">
        <is>
          <t>Produkt</t>
        </is>
      </c>
      <c r="C21" s="7" t="inlineStr">
        <is>
          <t>Jednotka</t>
        </is>
      </c>
      <c r="D21" s="7" t="inlineStr">
        <is>
          <t>Měsíční objem</t>
        </is>
      </c>
      <c r="E21" s="7" t="inlineStr">
        <is>
          <t>Q2 2026
(Dub–Čer)</t>
        </is>
      </c>
      <c r="F21" s="7" t="inlineStr">
        <is>
          <t>Q3 2026
(Čec–Zář)</t>
        </is>
      </c>
      <c r="G21" s="7" t="inlineStr">
        <is>
          <t>Celkem
6 měsíců</t>
        </is>
      </c>
    </row>
    <row r="22" ht="15" customHeight="1" s="170">
      <c r="B22" s="163" t="inlineStr">
        <is>
          <t>FloatBrandClear 4mm</t>
        </is>
      </c>
      <c r="C22" s="157" t="inlineStr">
        <is>
          <t>EUR/m²</t>
        </is>
      </c>
      <c r="D22" s="40" t="n">
        <v>10000</v>
      </c>
      <c r="E22" s="106">
        <f>D22*3</f>
        <v/>
      </c>
      <c r="F22" s="106">
        <f>D22*3</f>
        <v/>
      </c>
      <c r="G22" s="41">
        <f>E22+F22</f>
        <v/>
      </c>
    </row>
    <row r="23" ht="15" customHeight="1" s="170">
      <c r="B23" s="163" t="inlineStr">
        <is>
          <t>CoatedBrandPremiumN 4mm</t>
        </is>
      </c>
      <c r="C23" s="157" t="inlineStr">
        <is>
          <t>EUR/m²</t>
        </is>
      </c>
      <c r="D23" s="40" t="n">
        <v>8000</v>
      </c>
      <c r="E23" s="106">
        <f>D23*3</f>
        <v/>
      </c>
      <c r="F23" s="106">
        <f>D23*3</f>
        <v/>
      </c>
      <c r="G23" s="41">
        <f>E23+F23</f>
        <v/>
      </c>
    </row>
    <row r="24"/>
    <row r="25" ht="30" customHeight="1" s="170">
      <c r="B25" s="171" t="inlineStr">
        <is>
          <t>C1) FINANČNÍ DOPAD – SCÉNÁŘ MÍRNÝ</t>
        </is>
      </c>
      <c r="C25" s="173" t="n"/>
      <c r="D25" s="173" t="n"/>
      <c r="E25" s="173" t="n"/>
      <c r="F25" s="173" t="n"/>
      <c r="G25" s="173" t="n"/>
      <c r="H25" s="173" t="n"/>
      <c r="I25" s="173" t="n"/>
      <c r="J25" s="173" t="n"/>
      <c r="K25" s="173" t="n"/>
      <c r="L25" s="173" t="n"/>
      <c r="M25" s="173" t="n"/>
      <c r="N25" s="173" t="n"/>
    </row>
    <row r="26" ht="25.5" customHeight="1" s="170">
      <c r="B26" s="7" t="inlineStr">
        <is>
          <t>Produkt</t>
        </is>
      </c>
      <c r="C26" s="7" t="n"/>
      <c r="D26" s="7" t="inlineStr">
        <is>
          <t>Aktuální
jedn. cena</t>
        </is>
      </c>
      <c r="E26" s="7" t="inlineStr">
        <is>
          <t>Nová
jedn. cena</t>
        </is>
      </c>
      <c r="F26" s="7" t="inlineStr">
        <is>
          <t>Náklady Q2
AKTUÁLNÍ</t>
        </is>
      </c>
      <c r="G26" s="7" t="inlineStr">
        <is>
          <t>Náklady Q2
NOVÉ</t>
        </is>
      </c>
      <c r="H26" s="7" t="inlineStr">
        <is>
          <t>Rozdíl Q2
(EUR)</t>
        </is>
      </c>
      <c r="I26" s="7" t="inlineStr">
        <is>
          <t>Náklady Q3
AKTUÁLNÍ</t>
        </is>
      </c>
      <c r="J26" s="7" t="inlineStr">
        <is>
          <t>Náklady Q3
NOVÉ</t>
        </is>
      </c>
      <c r="K26" s="7" t="inlineStr">
        <is>
          <t>Rozdíl Q3
(EUR)</t>
        </is>
      </c>
      <c r="L26" s="7" t="inlineStr">
        <is>
          <t>Celkem 6M
AKTUÁLNÍ</t>
        </is>
      </c>
      <c r="M26" s="7" t="inlineStr">
        <is>
          <t>Celkem 6M
NOVÉ</t>
        </is>
      </c>
      <c r="N26" s="7" t="inlineStr">
        <is>
          <t>Celkový rozdíl
6M (EUR)</t>
        </is>
      </c>
    </row>
    <row r="27" ht="15" customHeight="1" s="170">
      <c r="B27" s="163" t="inlineStr">
        <is>
          <t>FloatBrandClear 4mm</t>
        </is>
      </c>
      <c r="C27" s="157" t="inlineStr">
        <is>
          <t>EUR/m²</t>
        </is>
      </c>
      <c r="D27" s="239">
        <f>D16</f>
        <v/>
      </c>
      <c r="E27" s="240">
        <f>E16</f>
        <v/>
      </c>
      <c r="F27" s="241">
        <f>D16*E22</f>
        <v/>
      </c>
      <c r="G27" s="186">
        <f>E16*E22</f>
        <v/>
      </c>
      <c r="H27" s="196">
        <f>G27-F27</f>
        <v/>
      </c>
      <c r="I27" s="241">
        <f>D16*F22</f>
        <v/>
      </c>
      <c r="J27" s="186">
        <f>E16*F22</f>
        <v/>
      </c>
      <c r="K27" s="196">
        <f>J27-I27</f>
        <v/>
      </c>
      <c r="L27" s="242">
        <f>F27+I27</f>
        <v/>
      </c>
      <c r="M27" s="186">
        <f>G27+J27</f>
        <v/>
      </c>
      <c r="N27" s="196">
        <f>M27-L27</f>
        <v/>
      </c>
    </row>
    <row r="28" ht="15" customHeight="1" s="170">
      <c r="B28" s="163" t="inlineStr">
        <is>
          <t>CoatedBrandPremiumN 4mm</t>
        </is>
      </c>
      <c r="C28" s="157" t="inlineStr">
        <is>
          <t>EUR/m²</t>
        </is>
      </c>
      <c r="D28" s="239">
        <f>D17</f>
        <v/>
      </c>
      <c r="E28" s="240">
        <f>E17</f>
        <v/>
      </c>
      <c r="F28" s="241">
        <f>D17*E23</f>
        <v/>
      </c>
      <c r="G28" s="186">
        <f>E17*E23</f>
        <v/>
      </c>
      <c r="H28" s="196">
        <f>G28-F28</f>
        <v/>
      </c>
      <c r="I28" s="241">
        <f>D17*F23</f>
        <v/>
      </c>
      <c r="J28" s="186">
        <f>E17*F23</f>
        <v/>
      </c>
      <c r="K28" s="196">
        <f>J28-I28</f>
        <v/>
      </c>
      <c r="L28" s="242">
        <f>F28+I28</f>
        <v/>
      </c>
      <c r="M28" s="186">
        <f>G28+J28</f>
        <v/>
      </c>
      <c r="N28" s="196">
        <f>M28-L28</f>
        <v/>
      </c>
    </row>
    <row r="29" ht="15" customHeight="1" s="170">
      <c r="B29" s="111" t="inlineStr">
        <is>
          <t>CELKEM</t>
        </is>
      </c>
      <c r="C29" s="27" t="n"/>
      <c r="D29" s="27" t="n"/>
      <c r="E29" s="27" t="n"/>
      <c r="F29" s="243">
        <f>SUM(F27:F28)</f>
        <v/>
      </c>
      <c r="G29" s="243">
        <f>SUM(G27:G28)</f>
        <v/>
      </c>
      <c r="H29" s="196">
        <f>SUM(H27:H28)</f>
        <v/>
      </c>
      <c r="I29" s="243">
        <f>SUM(I27:I28)</f>
        <v/>
      </c>
      <c r="J29" s="243">
        <f>SUM(J27:J28)</f>
        <v/>
      </c>
      <c r="K29" s="196">
        <f>SUM(K27:K28)</f>
        <v/>
      </c>
      <c r="L29" s="243">
        <f>SUM(L27:L28)</f>
        <v/>
      </c>
      <c r="M29" s="243">
        <f>SUM(M27:M28)</f>
        <v/>
      </c>
      <c r="N29" s="196">
        <f>SUM(N27:N28)</f>
        <v/>
      </c>
    </row>
    <row r="30"/>
    <row r="31" ht="30" customHeight="1" s="170">
      <c r="B31" s="171" t="inlineStr">
        <is>
          <t>C2) FINANČNÍ DOPAD – SCÉNÁŘ STŘEDNÍ</t>
        </is>
      </c>
      <c r="C31" s="173" t="n"/>
      <c r="D31" s="173" t="n"/>
      <c r="E31" s="173" t="n"/>
      <c r="F31" s="173" t="n"/>
      <c r="G31" s="173" t="n"/>
      <c r="H31" s="173" t="n"/>
      <c r="I31" s="173" t="n"/>
      <c r="J31" s="173" t="n"/>
      <c r="K31" s="173" t="n"/>
      <c r="L31" s="173" t="n"/>
      <c r="M31" s="173" t="n"/>
      <c r="N31" s="173" t="n"/>
    </row>
    <row r="32" ht="25.5" customHeight="1" s="170">
      <c r="B32" s="7" t="inlineStr">
        <is>
          <t>Produkt</t>
        </is>
      </c>
      <c r="C32" s="7" t="n"/>
      <c r="D32" s="7" t="inlineStr">
        <is>
          <t>Aktuální
jedn. cena</t>
        </is>
      </c>
      <c r="E32" s="7" t="inlineStr">
        <is>
          <t>Nová
jedn. cena</t>
        </is>
      </c>
      <c r="F32" s="7" t="inlineStr">
        <is>
          <t>Náklady Q2
AKTUÁLNÍ</t>
        </is>
      </c>
      <c r="G32" s="7" t="inlineStr">
        <is>
          <t>Náklady Q2
NOVÉ</t>
        </is>
      </c>
      <c r="H32" s="7" t="inlineStr">
        <is>
          <t>Rozdíl Q2
(EUR)</t>
        </is>
      </c>
      <c r="I32" s="7" t="inlineStr">
        <is>
          <t>Náklady Q3
AKTUÁLNÍ</t>
        </is>
      </c>
      <c r="J32" s="7" t="inlineStr">
        <is>
          <t>Náklady Q3
NOVÉ</t>
        </is>
      </c>
      <c r="K32" s="7" t="inlineStr">
        <is>
          <t>Rozdíl Q3
(EUR)</t>
        </is>
      </c>
      <c r="L32" s="7" t="inlineStr">
        <is>
          <t>Celkem 6M
AKTUÁLNÍ</t>
        </is>
      </c>
      <c r="M32" s="7" t="inlineStr">
        <is>
          <t>Celkem 6M
NOVÉ</t>
        </is>
      </c>
      <c r="N32" s="7" t="inlineStr">
        <is>
          <t>Celkový rozdíl
6M (EUR)</t>
        </is>
      </c>
    </row>
    <row r="33" ht="15" customHeight="1" s="170">
      <c r="B33" s="163" t="inlineStr">
        <is>
          <t>FloatBrandClear 4mm</t>
        </is>
      </c>
      <c r="C33" s="157" t="inlineStr">
        <is>
          <t>EUR/m²</t>
        </is>
      </c>
      <c r="D33" s="239">
        <f>D16</f>
        <v/>
      </c>
      <c r="E33" s="244">
        <f>H16</f>
        <v/>
      </c>
      <c r="F33" s="241">
        <f>D16*E22</f>
        <v/>
      </c>
      <c r="G33" s="189">
        <f>H16*E22</f>
        <v/>
      </c>
      <c r="H33" s="196">
        <f>G33-F33</f>
        <v/>
      </c>
      <c r="I33" s="241">
        <f>D16*F22</f>
        <v/>
      </c>
      <c r="J33" s="189">
        <f>H16*F22</f>
        <v/>
      </c>
      <c r="K33" s="196">
        <f>J33-I33</f>
        <v/>
      </c>
      <c r="L33" s="242">
        <f>F33+I33</f>
        <v/>
      </c>
      <c r="M33" s="189">
        <f>G33+J33</f>
        <v/>
      </c>
      <c r="N33" s="196">
        <f>M33-L33</f>
        <v/>
      </c>
    </row>
    <row r="34" ht="15" customHeight="1" s="170">
      <c r="B34" s="163" t="inlineStr">
        <is>
          <t>CoatedBrandPremiumN 4mm</t>
        </is>
      </c>
      <c r="C34" s="157" t="inlineStr">
        <is>
          <t>EUR/m²</t>
        </is>
      </c>
      <c r="D34" s="239">
        <f>D17</f>
        <v/>
      </c>
      <c r="E34" s="244">
        <f>H17</f>
        <v/>
      </c>
      <c r="F34" s="241">
        <f>D17*E23</f>
        <v/>
      </c>
      <c r="G34" s="189">
        <f>H17*E23</f>
        <v/>
      </c>
      <c r="H34" s="196">
        <f>G34-F34</f>
        <v/>
      </c>
      <c r="I34" s="241">
        <f>D17*F23</f>
        <v/>
      </c>
      <c r="J34" s="189">
        <f>H17*F23</f>
        <v/>
      </c>
      <c r="K34" s="196">
        <f>J34-I34</f>
        <v/>
      </c>
      <c r="L34" s="242">
        <f>F34+I34</f>
        <v/>
      </c>
      <c r="M34" s="189">
        <f>G34+J34</f>
        <v/>
      </c>
      <c r="N34" s="196">
        <f>M34-L34</f>
        <v/>
      </c>
    </row>
    <row r="35" ht="15" customHeight="1" s="170">
      <c r="B35" s="111" t="inlineStr">
        <is>
          <t>CELKEM</t>
        </is>
      </c>
      <c r="C35" s="27" t="n"/>
      <c r="D35" s="27" t="n"/>
      <c r="E35" s="27" t="n"/>
      <c r="F35" s="243">
        <f>SUM(F33:F34)</f>
        <v/>
      </c>
      <c r="G35" s="243">
        <f>SUM(G33:G34)</f>
        <v/>
      </c>
      <c r="H35" s="196">
        <f>SUM(H33:H34)</f>
        <v/>
      </c>
      <c r="I35" s="243">
        <f>SUM(I33:I34)</f>
        <v/>
      </c>
      <c r="J35" s="243">
        <f>SUM(J33:J34)</f>
        <v/>
      </c>
      <c r="K35" s="196">
        <f>SUM(K33:K34)</f>
        <v/>
      </c>
      <c r="L35" s="243">
        <f>SUM(L33:L34)</f>
        <v/>
      </c>
      <c r="M35" s="243">
        <f>SUM(M33:M34)</f>
        <v/>
      </c>
      <c r="N35" s="196">
        <f>SUM(N33:N34)</f>
        <v/>
      </c>
    </row>
    <row r="36"/>
    <row r="37" ht="30" customHeight="1" s="170">
      <c r="B37" s="171" t="inlineStr">
        <is>
          <t>C3) FINANČNÍ DOPAD – SCÉNÁŘ KRIZOVÝ</t>
        </is>
      </c>
      <c r="C37" s="173" t="n"/>
      <c r="D37" s="173" t="n"/>
      <c r="E37" s="173" t="n"/>
      <c r="F37" s="173" t="n"/>
      <c r="G37" s="173" t="n"/>
      <c r="H37" s="173" t="n"/>
      <c r="I37" s="173" t="n"/>
      <c r="J37" s="173" t="n"/>
      <c r="K37" s="173" t="n"/>
      <c r="L37" s="173" t="n"/>
      <c r="M37" s="173" t="n"/>
      <c r="N37" s="173" t="n"/>
    </row>
    <row r="38" ht="25.5" customHeight="1" s="170">
      <c r="B38" s="7" t="inlineStr">
        <is>
          <t>Produkt</t>
        </is>
      </c>
      <c r="C38" s="7" t="n"/>
      <c r="D38" s="7" t="inlineStr">
        <is>
          <t>Aktuální
jedn. cena</t>
        </is>
      </c>
      <c r="E38" s="7" t="inlineStr">
        <is>
          <t>Nová
jedn. cena</t>
        </is>
      </c>
      <c r="F38" s="7" t="inlineStr">
        <is>
          <t>Náklady Q2
AKTUÁLNÍ</t>
        </is>
      </c>
      <c r="G38" s="7" t="inlineStr">
        <is>
          <t>Náklady Q2
NOVÉ</t>
        </is>
      </c>
      <c r="H38" s="7" t="inlineStr">
        <is>
          <t>Rozdíl Q2
(EUR)</t>
        </is>
      </c>
      <c r="I38" s="7" t="inlineStr">
        <is>
          <t>Náklady Q3
AKTUÁLNÍ</t>
        </is>
      </c>
      <c r="J38" s="7" t="inlineStr">
        <is>
          <t>Náklady Q3
NOVÉ</t>
        </is>
      </c>
      <c r="K38" s="7" t="inlineStr">
        <is>
          <t>Rozdíl Q3
(EUR)</t>
        </is>
      </c>
      <c r="L38" s="7" t="inlineStr">
        <is>
          <t>Celkem 6M
AKTUÁLNÍ</t>
        </is>
      </c>
      <c r="M38" s="7" t="inlineStr">
        <is>
          <t>Celkem 6M
NOVÉ</t>
        </is>
      </c>
      <c r="N38" s="7" t="inlineStr">
        <is>
          <t>Celkový rozdíl
6M (EUR)</t>
        </is>
      </c>
    </row>
    <row r="39" ht="15" customHeight="1" s="170">
      <c r="B39" s="163" t="inlineStr">
        <is>
          <t>FloatBrandClear 4mm</t>
        </is>
      </c>
      <c r="C39" s="157" t="inlineStr">
        <is>
          <t>EUR/m²</t>
        </is>
      </c>
      <c r="D39" s="239">
        <f>D16</f>
        <v/>
      </c>
      <c r="E39" s="245">
        <f>K16</f>
        <v/>
      </c>
      <c r="F39" s="241">
        <f>D16*E22</f>
        <v/>
      </c>
      <c r="G39" s="193">
        <f>K16*E22</f>
        <v/>
      </c>
      <c r="H39" s="196">
        <f>G39-F39</f>
        <v/>
      </c>
      <c r="I39" s="241">
        <f>D16*F22</f>
        <v/>
      </c>
      <c r="J39" s="193">
        <f>K16*F22</f>
        <v/>
      </c>
      <c r="K39" s="196">
        <f>J39-I39</f>
        <v/>
      </c>
      <c r="L39" s="242">
        <f>F39+I39</f>
        <v/>
      </c>
      <c r="M39" s="193">
        <f>G39+J39</f>
        <v/>
      </c>
      <c r="N39" s="196">
        <f>M39-L39</f>
        <v/>
      </c>
    </row>
    <row r="40" ht="15" customHeight="1" s="170">
      <c r="B40" s="163" t="inlineStr">
        <is>
          <t>CoatedBrandPremiumN 4mm</t>
        </is>
      </c>
      <c r="C40" s="157" t="inlineStr">
        <is>
          <t>EUR/m²</t>
        </is>
      </c>
      <c r="D40" s="239">
        <f>D17</f>
        <v/>
      </c>
      <c r="E40" s="245">
        <f>K17</f>
        <v/>
      </c>
      <c r="F40" s="241">
        <f>D17*E23</f>
        <v/>
      </c>
      <c r="G40" s="193">
        <f>K17*E23</f>
        <v/>
      </c>
      <c r="H40" s="196">
        <f>G40-F40</f>
        <v/>
      </c>
      <c r="I40" s="241">
        <f>D17*F23</f>
        <v/>
      </c>
      <c r="J40" s="193">
        <f>K17*F23</f>
        <v/>
      </c>
      <c r="K40" s="196">
        <f>J40-I40</f>
        <v/>
      </c>
      <c r="L40" s="242">
        <f>F40+I40</f>
        <v/>
      </c>
      <c r="M40" s="193">
        <f>G40+J40</f>
        <v/>
      </c>
      <c r="N40" s="196">
        <f>M40-L40</f>
        <v/>
      </c>
    </row>
    <row r="41" ht="15" customHeight="1" s="170">
      <c r="B41" s="111" t="inlineStr">
        <is>
          <t>CELKEM</t>
        </is>
      </c>
      <c r="C41" s="27" t="n"/>
      <c r="D41" s="27" t="n"/>
      <c r="E41" s="27" t="n"/>
      <c r="F41" s="243">
        <f>SUM(F39:F40)</f>
        <v/>
      </c>
      <c r="G41" s="243">
        <f>SUM(G39:G40)</f>
        <v/>
      </c>
      <c r="H41" s="196">
        <f>SUM(H39:H40)</f>
        <v/>
      </c>
      <c r="I41" s="243">
        <f>SUM(I39:I40)</f>
        <v/>
      </c>
      <c r="J41" s="243">
        <f>SUM(J39:J40)</f>
        <v/>
      </c>
      <c r="K41" s="196">
        <f>SUM(K39:K40)</f>
        <v/>
      </c>
      <c r="L41" s="243">
        <f>SUM(L39:L40)</f>
        <v/>
      </c>
      <c r="M41" s="243">
        <f>SUM(M39:M40)</f>
        <v/>
      </c>
      <c r="N41" s="196">
        <f>SUM(N39:N40)</f>
        <v/>
      </c>
    </row>
    <row r="42"/>
    <row r="43"/>
    <row r="44" ht="26.25" customHeight="1" s="170">
      <c r="B44" s="171" t="inlineStr">
        <is>
          <t>D) PREDIKCE vs. REALITA – POROVNÁNÍ S DODAVATELEM</t>
        </is>
      </c>
      <c r="C44" s="173" t="n"/>
      <c r="D44" s="173" t="n"/>
      <c r="E44" s="173" t="n"/>
      <c r="F44" s="173" t="n"/>
      <c r="G44" s="173" t="n"/>
      <c r="H44" s="173" t="n"/>
      <c r="I44" s="173" t="n"/>
      <c r="J44" s="173" t="n"/>
      <c r="K44" s="173" t="n"/>
      <c r="L44" s="173" t="n"/>
      <c r="M44" s="173" t="n"/>
      <c r="N44" s="173" t="n"/>
      <c r="O44" s="173" t="n"/>
    </row>
    <row r="45" ht="25.5" customHeight="1" s="170">
      <c r="B45" s="7" t="inlineStr">
        <is>
          <t>Produkt</t>
        </is>
      </c>
      <c r="C45" s="7" t="inlineStr">
        <is>
          <t>Jednotka</t>
        </is>
      </c>
      <c r="D45" s="7" t="inlineStr">
        <is>
          <t>Aktuální
cena</t>
        </is>
      </c>
      <c r="E45" s="7" t="inlineStr">
        <is>
          <t>Predikce
MÍRNÝ</t>
        </is>
      </c>
      <c r="F45" s="7" t="inlineStr">
        <is>
          <t>Predikce
STŘEDNÍ</t>
        </is>
      </c>
      <c r="G45" s="7" t="inlineStr">
        <is>
          <t>Predikce
KRIZOVÝ</t>
        </is>
      </c>
      <c r="H45" s="7" t="inlineStr">
        <is>
          <t>Reálná nová
cena (EUR)</t>
        </is>
      </c>
      <c r="I45" s="7" t="inlineStr">
        <is>
          <t>Reálné
zdražení (%)</t>
        </is>
      </c>
      <c r="J45" s="7" t="inlineStr">
        <is>
          <t>Reálný vs.
Mírný</t>
        </is>
      </c>
      <c r="K45" s="7" t="inlineStr">
        <is>
          <t>Reálný vs.
Střední</t>
        </is>
      </c>
      <c r="L45" s="7" t="inlineStr">
        <is>
          <t>Reálný vs.
Krizový</t>
        </is>
      </c>
      <c r="M45" s="7" t="inlineStr">
        <is>
          <t>Měs. objem</t>
        </is>
      </c>
      <c r="N45" s="7" t="inlineStr">
        <is>
          <t>Reálný dopad
měsíční (EUR)</t>
        </is>
      </c>
      <c r="O45" s="7" t="inlineStr">
        <is>
          <t>Reálný dopad
6M (EUR)</t>
        </is>
      </c>
      <c r="P45" s="155" t="inlineStr">
        <is>
          <t>Zdražení
od</t>
        </is>
      </c>
    </row>
    <row r="46" ht="15" customHeight="1" s="170">
      <c r="B46" s="163" t="inlineStr">
        <is>
          <t>FloatBrandClear 4mm</t>
        </is>
      </c>
      <c r="C46" s="157" t="inlineStr">
        <is>
          <t>EUR/m²</t>
        </is>
      </c>
      <c r="D46" s="239">
        <f>D16</f>
        <v/>
      </c>
      <c r="E46" s="240">
        <f>E16</f>
        <v/>
      </c>
      <c r="F46" s="244">
        <f>H16</f>
        <v/>
      </c>
      <c r="G46" s="245">
        <f>K16</f>
        <v/>
      </c>
      <c r="H46" s="48" t="inlineStr">
        <is>
          <t>Doplnit</t>
        </is>
      </c>
      <c r="I46" s="49" t="inlineStr">
        <is>
          <t>Čekáme</t>
        </is>
      </c>
      <c r="J46" s="49" t="inlineStr">
        <is>
          <t>–</t>
        </is>
      </c>
      <c r="K46" s="49" t="inlineStr">
        <is>
          <t>–</t>
        </is>
      </c>
      <c r="L46" s="49" t="inlineStr">
        <is>
          <t>–</t>
        </is>
      </c>
      <c r="M46" s="49" t="inlineStr">
        <is>
          <t>–</t>
        </is>
      </c>
      <c r="N46" s="49" t="inlineStr">
        <is>
          <t>–</t>
        </is>
      </c>
      <c r="O46" s="49" t="inlineStr">
        <is>
          <t>–</t>
        </is>
      </c>
      <c r="P46" s="50" t="inlineStr">
        <is>
          <t>Čekáme</t>
        </is>
      </c>
    </row>
    <row r="47" ht="15" customHeight="1" s="170">
      <c r="B47" s="163" t="inlineStr">
        <is>
          <t>CoatedBrandPremiumN 4mm</t>
        </is>
      </c>
      <c r="C47" s="157" t="inlineStr">
        <is>
          <t>EUR/m²</t>
        </is>
      </c>
      <c r="D47" s="239">
        <f>D17</f>
        <v/>
      </c>
      <c r="E47" s="240">
        <f>E17</f>
        <v/>
      </c>
      <c r="F47" s="244">
        <f>H17</f>
        <v/>
      </c>
      <c r="G47" s="245">
        <f>K17</f>
        <v/>
      </c>
      <c r="H47" s="48" t="inlineStr">
        <is>
          <t>Doplnit</t>
        </is>
      </c>
      <c r="I47" s="49" t="inlineStr">
        <is>
          <t>Čekáme</t>
        </is>
      </c>
      <c r="J47" s="49" t="inlineStr">
        <is>
          <t>–</t>
        </is>
      </c>
      <c r="K47" s="49" t="inlineStr">
        <is>
          <t>–</t>
        </is>
      </c>
      <c r="L47" s="49" t="inlineStr">
        <is>
          <t>–</t>
        </is>
      </c>
      <c r="M47" s="49" t="inlineStr">
        <is>
          <t>–</t>
        </is>
      </c>
      <c r="N47" s="49" t="inlineStr">
        <is>
          <t>–</t>
        </is>
      </c>
      <c r="O47" s="49" t="inlineStr">
        <is>
          <t>–</t>
        </is>
      </c>
      <c r="P47" s="50" t="inlineStr">
        <is>
          <t>Čekáme</t>
        </is>
      </c>
    </row>
    <row r="48"/>
    <row r="49" ht="15" customHeight="1" s="170">
      <c r="B49" s="165" t="inlineStr">
        <is>
          <t>Status:</t>
        </is>
      </c>
      <c r="C49" s="162" t="inlineStr">
        <is>
          <t>⏳ Čekáme na vyjádření dodavatele. Doplňte reálnou cenu po obdržení nabídky.</t>
        </is>
      </c>
    </row>
  </sheetData>
  <mergeCells count="3">
    <mergeCell ref="B12:J12"/>
    <mergeCell ref="B11:J11"/>
    <mergeCell ref="C49:L49"/>
  </mergeCells>
  <pageMargins left="0.75" right="0.75" top="1" bottom="1" header="0.511811023622047" footer="0.511811023622047"/>
  <pageSetup orientation="portrait" paperSize="9" horizontalDpi="300" verticalDpi="300"/>
  <legacyDrawing xmlns:r="http://schemas.openxmlformats.org/officeDocument/2006/relationships" r:id="anysvml"/>
</worksheet>
</file>

<file path=xl/worksheets/sheet13.xml><?xml version="1.0" encoding="utf-8"?>
<worksheet xmlns="http://schemas.openxmlformats.org/spreadsheetml/2006/main">
  <sheetPr>
    <tabColor rgb="FFE65100"/>
    <outlinePr summaryBelow="1" summaryRight="1"/>
    <pageSetUpPr/>
  </sheetPr>
  <dimension ref="A1:P61"/>
  <sheetViews>
    <sheetView zoomScaleNormal="100" workbookViewId="0">
      <selection activeCell="P55" sqref="P55"/>
    </sheetView>
  </sheetViews>
  <sheetFormatPr baseColWidth="8" defaultColWidth="8.7109375" defaultRowHeight="15"/>
  <cols>
    <col width="3" customWidth="1" style="170" min="1" max="1"/>
    <col width="32" customWidth="1" style="170" min="2" max="2"/>
    <col width="14" customWidth="1" style="170" min="3" max="16"/>
  </cols>
  <sheetData>
    <row r="1"/>
    <row r="2" ht="48" customHeight="1" s="170">
      <c r="B2" s="2" t="inlineStr">
        <is>
          <t>PVB FÓLIE – PVBSupplier (PVBBrand) / PVBSupplierAlt (Saflex)</t>
        </is>
      </c>
    </row>
    <row r="3" ht="39" customHeight="1" s="170">
      <c r="B3" s="32" t="inlineStr">
        <is>
          <t>Analýza cenového dopadu růstu energií – Kvartální výhled Q2–Q3 2026</t>
        </is>
      </c>
    </row>
    <row r="4"/>
    <row r="5" ht="26.25" customHeight="1" s="170">
      <c r="B5" s="171" t="inlineStr">
        <is>
          <t>ENERGETICKÝ PROFIL VÝROBY</t>
        </is>
      </c>
      <c r="C5" s="173" t="n"/>
      <c r="D5" s="173" t="n"/>
      <c r="E5" s="173" t="n"/>
      <c r="F5" s="173" t="n"/>
      <c r="G5" s="173" t="n"/>
      <c r="H5" s="173" t="n"/>
      <c r="I5" s="173" t="n"/>
    </row>
    <row r="6" ht="23.25" customHeight="1" s="170">
      <c r="B6" s="34" t="inlineStr">
        <is>
          <t>Závislost na ropě (petrochemie, transport)</t>
        </is>
      </c>
      <c r="C6" s="233" t="n">
        <v>0.6</v>
      </c>
    </row>
    <row r="7" ht="15" customHeight="1" s="170">
      <c r="B7" s="34" t="inlineStr">
        <is>
          <t>Závislost na plynu (energie, suroviny)</t>
        </is>
      </c>
      <c r="C7" s="233" t="n">
        <v>0.4</v>
      </c>
    </row>
    <row r="8" ht="23.25" customHeight="1" s="170">
      <c r="B8" s="34" t="inlineStr">
        <is>
          <t>Podíl energetických nákladů na výr. ceně</t>
        </is>
      </c>
      <c r="C8" s="233" t="n">
        <v>0.35</v>
      </c>
    </row>
    <row r="9"/>
    <row r="10" ht="21.75" customHeight="1" s="170">
      <c r="B10" s="165" t="inlineStr">
        <is>
          <t>VÝROBNÍ PROCES A ENERGETICKÁ NÁROČNOST:</t>
        </is>
      </c>
    </row>
    <row r="11" ht="54.75" customHeight="1" s="170">
      <c r="B11" s="167" t="inlineStr">
        <is>
          <t>PVB fólie se vyrábí ve dvou krocích: 1) Syntéza PVB pryskyřice – acetalizace polyvinylalkoholu (PVA) butyraldehydem v kyselém prostředí. PVA pochází z vinylacetátu (ropný ethylen), butyraldehyd z propylenu (oxo-proces). 2) Extruze fólie – PVB pryskyřice se smíchá se změkčovadlem (3GO, ropný derivát) a extruduje při 150–200 °C na přesnou tloušťku. Oba dodavatelé (PVBSupplier/PVBBrand i PVBSupplierAlt/Saflex) používají obdobný proces.</t>
        </is>
      </c>
    </row>
    <row r="12" ht="34.5" customHeight="1" s="170">
      <c r="B12" s="168" t="inlineStr">
        <is>
          <t>Vysoká závislost na ropě (~60 %) – PVA, butyraldehyd i změkčovadla jsou petrochemické produkty. Plyn (~40 %) se podílí na energii pro extruzi, sušení a chemické reakce.</t>
        </is>
      </c>
    </row>
    <row r="13"/>
    <row r="14" ht="26.25" customHeight="1" s="170">
      <c r="B14" s="171" t="inlineStr">
        <is>
          <t>A) CENOVÝ MODEL – JEDNOTKOVÁ CENA</t>
        </is>
      </c>
      <c r="C14" s="173" t="n"/>
      <c r="D14" s="173" t="n"/>
      <c r="E14" s="173" t="n"/>
      <c r="F14" s="173" t="n"/>
      <c r="G14" s="173" t="n"/>
      <c r="H14" s="173" t="n"/>
      <c r="I14" s="173" t="n"/>
      <c r="J14" s="173" t="n"/>
      <c r="K14" s="173" t="n"/>
      <c r="L14" s="173" t="n"/>
      <c r="M14" s="173" t="n"/>
    </row>
    <row r="15" ht="34.5" customHeight="1" s="170">
      <c r="B15" s="7" t="inlineStr">
        <is>
          <t>Produkt</t>
        </is>
      </c>
      <c r="C15" s="7" t="inlineStr">
        <is>
          <t>Jednotka</t>
        </is>
      </c>
      <c r="D15" s="7" t="inlineStr">
        <is>
          <t>Aktuální cena
(EUR)</t>
        </is>
      </c>
      <c r="E15" s="7" t="inlineStr">
        <is>
          <t>Scénář MÍRNÝ
(nová cena)</t>
        </is>
      </c>
      <c r="F15" s="7" t="inlineStr">
        <is>
          <t>Rozdíl
(EUR)</t>
        </is>
      </c>
      <c r="G15" s="7" t="inlineStr">
        <is>
          <t>Rozdíl
(%)</t>
        </is>
      </c>
      <c r="H15" s="7" t="inlineStr">
        <is>
          <t>Scénář STŘEDNÍ
(nová cena)</t>
        </is>
      </c>
      <c r="I15" s="7" t="inlineStr">
        <is>
          <t>Rozdíl
(EUR)</t>
        </is>
      </c>
      <c r="J15" s="7" t="inlineStr">
        <is>
          <t>Rozdíl
(%)</t>
        </is>
      </c>
      <c r="K15" s="7" t="inlineStr">
        <is>
          <t>Scénář KRIZOVÝ
(nová cena)</t>
        </is>
      </c>
      <c r="L15" s="7" t="inlineStr">
        <is>
          <t>Rozdíl
(EUR)</t>
        </is>
      </c>
      <c r="M15" s="7" t="inlineStr">
        <is>
          <t>Rozdíl
(%)</t>
        </is>
      </c>
    </row>
    <row r="16" ht="15" customHeight="1" s="170">
      <c r="B16" s="163" t="inlineStr">
        <is>
          <t>PVBBrand Clear B200 0,76mm 2600</t>
        </is>
      </c>
      <c r="C16" s="157" t="inlineStr">
        <is>
          <t>EUR/m²</t>
        </is>
      </c>
      <c r="D16" s="202" t="n">
        <v>4.81</v>
      </c>
      <c r="E16" s="204">
        <f>D16*(1+C8*(C6*(Ropa_a_plyn!C8-Ropa_a_plyn!C7)/Ropa_a_plyn!C7*0.3+C7*(Ropa_a_plyn!C17-Ropa_a_plyn!C16)/Ropa_a_plyn!C16*0.3))</f>
        <v/>
      </c>
      <c r="F16" s="234">
        <f>E16-D16</f>
        <v/>
      </c>
      <c r="G16" s="235">
        <f>F16/D16</f>
        <v/>
      </c>
      <c r="H16" s="205">
        <f>D16*(1+C8*(C6*(Ropa_a_plyn!C8-Ropa_a_plyn!C7)/Ropa_a_plyn!C7*0.5+C7*(Ropa_a_plyn!C17-Ropa_a_plyn!C16)/Ropa_a_plyn!C16*0.5))</f>
        <v/>
      </c>
      <c r="I16" s="236">
        <f>H16-D16</f>
        <v/>
      </c>
      <c r="J16" s="237">
        <f>I16/D16</f>
        <v/>
      </c>
      <c r="K16" s="206">
        <f>D16*(1+C8*(C6*(Ropa_a_plyn!C8-Ropa_a_plyn!C7)/Ropa_a_plyn!C7*0.75+C7*(Ropa_a_plyn!C17-Ropa_a_plyn!C16)/Ropa_a_plyn!C16*0.75))</f>
        <v/>
      </c>
      <c r="L16" s="238">
        <f>K16-D16</f>
        <v/>
      </c>
      <c r="M16" s="192">
        <f>L16/D16</f>
        <v/>
      </c>
    </row>
    <row r="17" ht="23.25" customHeight="1" s="170">
      <c r="B17" s="163" t="inlineStr">
        <is>
          <t>PVBBrand UltraClear B200 NR 0,76mm 2440</t>
        </is>
      </c>
      <c r="C17" s="157" t="inlineStr">
        <is>
          <t>EUR/m²</t>
        </is>
      </c>
      <c r="D17" s="202" t="n">
        <v>4.81</v>
      </c>
      <c r="E17" s="204">
        <f>D17*(1+C8*(C6*(Ropa_a_plyn!C8-Ropa_a_plyn!C7)/Ropa_a_plyn!C7*0.3+C7*(Ropa_a_plyn!C17-Ropa_a_plyn!C16)/Ropa_a_plyn!C16*0.3))</f>
        <v/>
      </c>
      <c r="F17" s="234">
        <f>E17-D17</f>
        <v/>
      </c>
      <c r="G17" s="235">
        <f>F17/D17</f>
        <v/>
      </c>
      <c r="H17" s="205">
        <f>D17*(1+C8*(C6*(Ropa_a_plyn!C8-Ropa_a_plyn!C7)/Ropa_a_plyn!C7*0.5+C7*(Ropa_a_plyn!C17-Ropa_a_plyn!C16)/Ropa_a_plyn!C16*0.5))</f>
        <v/>
      </c>
      <c r="I17" s="236">
        <f>H17-D17</f>
        <v/>
      </c>
      <c r="J17" s="237">
        <f>I17/D17</f>
        <v/>
      </c>
      <c r="K17" s="206">
        <f>D17*(1+C8*(C6*(Ropa_a_plyn!C8-Ropa_a_plyn!C7)/Ropa_a_plyn!C7*0.75+C7*(Ropa_a_plyn!C17-Ropa_a_plyn!C16)/Ropa_a_plyn!C16*0.75))</f>
        <v/>
      </c>
      <c r="L17" s="238">
        <f>K17-D17</f>
        <v/>
      </c>
      <c r="M17" s="192">
        <f>L17/D17</f>
        <v/>
      </c>
    </row>
    <row r="18" ht="15" customHeight="1" s="170">
      <c r="B18" s="163" t="inlineStr">
        <is>
          <t>Saflex 0,38mm 2550 Clear</t>
        </is>
      </c>
      <c r="C18" s="157" t="inlineStr">
        <is>
          <t>EUR/m²</t>
        </is>
      </c>
      <c r="D18" s="202" t="n">
        <v>2.62</v>
      </c>
      <c r="E18" s="204">
        <f>D18*(1+C8*(C6*(Ropa_a_plyn!C8-Ropa_a_plyn!C7)/Ropa_a_plyn!C7*0.3+C7*(Ropa_a_plyn!C17-Ropa_a_plyn!C16)/Ropa_a_plyn!C16*0.3))</f>
        <v/>
      </c>
      <c r="F18" s="234">
        <f>E18-D18</f>
        <v/>
      </c>
      <c r="G18" s="235">
        <f>F18/D18</f>
        <v/>
      </c>
      <c r="H18" s="205">
        <f>D18*(1+C8*(C6*(Ropa_a_plyn!C8-Ropa_a_plyn!C7)/Ropa_a_plyn!C7*0.5+C7*(Ropa_a_plyn!C17-Ropa_a_plyn!C16)/Ropa_a_plyn!C16*0.5))</f>
        <v/>
      </c>
      <c r="I18" s="236">
        <f>H18-D18</f>
        <v/>
      </c>
      <c r="J18" s="237">
        <f>I18/D18</f>
        <v/>
      </c>
      <c r="K18" s="206">
        <f>D18*(1+C8*(C6*(Ropa_a_plyn!C8-Ropa_a_plyn!C7)/Ropa_a_plyn!C7*0.75+C7*(Ropa_a_plyn!C17-Ropa_a_plyn!C16)/Ropa_a_plyn!C16*0.75))</f>
        <v/>
      </c>
      <c r="L18" s="238">
        <f>K18-D18</f>
        <v/>
      </c>
      <c r="M18" s="192">
        <f>L18/D18</f>
        <v/>
      </c>
    </row>
    <row r="19" ht="15" customHeight="1" s="170">
      <c r="B19" s="163" t="inlineStr">
        <is>
          <t>Saflex 0,38mm 2550 Dusk Brown</t>
        </is>
      </c>
      <c r="C19" s="157" t="inlineStr">
        <is>
          <t>EUR/m²</t>
        </is>
      </c>
      <c r="D19" s="202" t="n">
        <v>3.4</v>
      </c>
      <c r="E19" s="204">
        <f>D19*(1+C8*(C6*(Ropa_a_plyn!C8-Ropa_a_plyn!C7)/Ropa_a_plyn!C7*0.3+C7*(Ropa_a_plyn!C17-Ropa_a_plyn!C16)/Ropa_a_plyn!C16*0.3))</f>
        <v/>
      </c>
      <c r="F19" s="234">
        <f>E19-D19</f>
        <v/>
      </c>
      <c r="G19" s="235">
        <f>F19/D19</f>
        <v/>
      </c>
      <c r="H19" s="205">
        <f>D19*(1+C8*(C6*(Ropa_a_plyn!C8-Ropa_a_plyn!C7)/Ropa_a_plyn!C7*0.5+C7*(Ropa_a_plyn!C17-Ropa_a_plyn!C16)/Ropa_a_plyn!C16*0.5))</f>
        <v/>
      </c>
      <c r="I19" s="236">
        <f>H19-D19</f>
        <v/>
      </c>
      <c r="J19" s="237">
        <f>I19/D19</f>
        <v/>
      </c>
      <c r="K19" s="206">
        <f>D19*(1+C8*(C6*(Ropa_a_plyn!C8-Ropa_a_plyn!C7)/Ropa_a_plyn!C7*0.75+C7*(Ropa_a_plyn!C17-Ropa_a_plyn!C16)/Ropa_a_plyn!C16*0.75))</f>
        <v/>
      </c>
      <c r="L19" s="238">
        <f>K19-D19</f>
        <v/>
      </c>
      <c r="M19" s="192">
        <f>L19/D19</f>
        <v/>
      </c>
    </row>
    <row r="20"/>
    <row r="21"/>
    <row r="22" ht="26.25" customHeight="1" s="170">
      <c r="B22" s="171" t="inlineStr">
        <is>
          <t>B) OBJEMY A KVARTÁLNÍ FINANČNÍ DOPAD</t>
        </is>
      </c>
      <c r="C22" s="173" t="n"/>
      <c r="D22" s="173" t="n"/>
      <c r="E22" s="173" t="n"/>
      <c r="F22" s="173" t="n"/>
      <c r="G22" s="173" t="n"/>
      <c r="H22" s="173" t="n"/>
      <c r="I22" s="173" t="n"/>
      <c r="J22" s="173" t="n"/>
      <c r="K22" s="173" t="n"/>
      <c r="L22" s="173" t="n"/>
      <c r="M22" s="173" t="n"/>
      <c r="N22" s="173" t="n"/>
    </row>
    <row r="23" ht="23.25" customHeight="1" s="170">
      <c r="B23" s="7" t="inlineStr">
        <is>
          <t>Produkt</t>
        </is>
      </c>
      <c r="C23" s="7" t="inlineStr">
        <is>
          <t>Jednotka</t>
        </is>
      </c>
      <c r="D23" s="7" t="inlineStr">
        <is>
          <t>Měsíční objem</t>
        </is>
      </c>
      <c r="E23" s="7" t="inlineStr">
        <is>
          <t>Q2 2026
(Dub–Čer)</t>
        </is>
      </c>
      <c r="F23" s="7" t="inlineStr">
        <is>
          <t>Q3 2026
(Čec–Zář)</t>
        </is>
      </c>
      <c r="G23" s="7" t="inlineStr">
        <is>
          <t>Celkem
6 měsíců</t>
        </is>
      </c>
    </row>
    <row r="24" ht="15" customHeight="1" s="170">
      <c r="B24" s="163" t="inlineStr">
        <is>
          <t>PVBBrand Clear B200 0,76mm 2600</t>
        </is>
      </c>
      <c r="C24" s="157" t="inlineStr">
        <is>
          <t>EUR/m²</t>
        </is>
      </c>
      <c r="D24" s="40" t="n">
        <v>108</v>
      </c>
      <c r="E24" s="106">
        <f>D24*3</f>
        <v/>
      </c>
      <c r="F24" s="106">
        <f>D24*3</f>
        <v/>
      </c>
      <c r="G24" s="41">
        <f>E24+F24</f>
        <v/>
      </c>
    </row>
    <row r="25" ht="23.25" customHeight="1" s="170">
      <c r="B25" s="163" t="inlineStr">
        <is>
          <t>PVBBrand UltraClear B200 NR 0,76mm 2440</t>
        </is>
      </c>
      <c r="C25" s="157" t="inlineStr">
        <is>
          <t>EUR/m²</t>
        </is>
      </c>
      <c r="D25" s="40" t="n">
        <v>302</v>
      </c>
      <c r="E25" s="106">
        <f>D25*3</f>
        <v/>
      </c>
      <c r="F25" s="106">
        <f>D25*3</f>
        <v/>
      </c>
      <c r="G25" s="41">
        <f>E25+F25</f>
        <v/>
      </c>
    </row>
    <row r="26" ht="15" customHeight="1" s="170">
      <c r="B26" s="163" t="inlineStr">
        <is>
          <t>Saflex 0,38mm 2550 Clear</t>
        </is>
      </c>
      <c r="C26" s="157" t="inlineStr">
        <is>
          <t>EUR/m²</t>
        </is>
      </c>
      <c r="D26" s="40" t="n">
        <v>96</v>
      </c>
      <c r="E26" s="106">
        <f>D26*3</f>
        <v/>
      </c>
      <c r="F26" s="106">
        <f>D26*3</f>
        <v/>
      </c>
      <c r="G26" s="41">
        <f>E26+F26</f>
        <v/>
      </c>
    </row>
    <row r="27" ht="15" customHeight="1" s="170">
      <c r="B27" s="163" t="inlineStr">
        <is>
          <t>Saflex 0,38mm 2550 Dusk Brown</t>
        </is>
      </c>
      <c r="C27" s="157" t="inlineStr">
        <is>
          <t>EUR/m²</t>
        </is>
      </c>
      <c r="D27" s="40" t="n">
        <v>96</v>
      </c>
      <c r="E27" s="106">
        <f>D27*3</f>
        <v/>
      </c>
      <c r="F27" s="106">
        <f>D27*3</f>
        <v/>
      </c>
      <c r="G27" s="41">
        <f>E27+F27</f>
        <v/>
      </c>
    </row>
    <row r="28"/>
    <row r="29" ht="26.25" customHeight="1" s="170">
      <c r="B29" s="171" t="inlineStr">
        <is>
          <t>C1) FINANČNÍ DOPAD – SCÉNÁŘ MÍRNÝ</t>
        </is>
      </c>
      <c r="C29" s="173" t="n"/>
      <c r="D29" s="173" t="n"/>
      <c r="E29" s="173" t="n"/>
      <c r="F29" s="173" t="n"/>
      <c r="G29" s="173" t="n"/>
      <c r="H29" s="173" t="n"/>
      <c r="I29" s="173" t="n"/>
      <c r="J29" s="173" t="n"/>
      <c r="K29" s="173" t="n"/>
      <c r="L29" s="173" t="n"/>
      <c r="M29" s="173" t="n"/>
      <c r="N29" s="173" t="n"/>
    </row>
    <row r="30" ht="23.25" customHeight="1" s="170">
      <c r="B30" s="7" t="inlineStr">
        <is>
          <t>Produkt</t>
        </is>
      </c>
      <c r="C30" s="7" t="n"/>
      <c r="D30" s="7" t="inlineStr">
        <is>
          <t>Aktuální
jedn. cena</t>
        </is>
      </c>
      <c r="E30" s="7" t="inlineStr">
        <is>
          <t>Nová
jedn. cena</t>
        </is>
      </c>
      <c r="F30" s="7" t="inlineStr">
        <is>
          <t>Náklady Q2
AKTUÁLNÍ</t>
        </is>
      </c>
      <c r="G30" s="7" t="inlineStr">
        <is>
          <t>Náklady Q2
NOVÉ</t>
        </is>
      </c>
      <c r="H30" s="7" t="inlineStr">
        <is>
          <t>Rozdíl Q2
(EUR)</t>
        </is>
      </c>
      <c r="I30" s="7" t="inlineStr">
        <is>
          <t>Náklady Q3
AKTUÁLNÍ</t>
        </is>
      </c>
      <c r="J30" s="7" t="inlineStr">
        <is>
          <t>Náklady Q3
NOVÉ</t>
        </is>
      </c>
      <c r="K30" s="7" t="inlineStr">
        <is>
          <t>Rozdíl Q3
(EUR)</t>
        </is>
      </c>
      <c r="L30" s="7" t="inlineStr">
        <is>
          <t>Celkem 6M
AKTUÁLNÍ</t>
        </is>
      </c>
      <c r="M30" s="7" t="inlineStr">
        <is>
          <t>Celkem 6M
NOVÉ</t>
        </is>
      </c>
      <c r="N30" s="7" t="inlineStr">
        <is>
          <t>Celkový rozdíl
6M (EUR)</t>
        </is>
      </c>
    </row>
    <row r="31" ht="15" customHeight="1" s="170">
      <c r="B31" s="163" t="inlineStr">
        <is>
          <t>PVBBrand Clear B200 0,76mm 2600</t>
        </is>
      </c>
      <c r="C31" s="157" t="inlineStr">
        <is>
          <t>EUR/m²</t>
        </is>
      </c>
      <c r="D31" s="239">
        <f>D16</f>
        <v/>
      </c>
      <c r="E31" s="240">
        <f>E16</f>
        <v/>
      </c>
      <c r="F31" s="241">
        <f>D16*E24</f>
        <v/>
      </c>
      <c r="G31" s="186">
        <f>E16*E24</f>
        <v/>
      </c>
      <c r="H31" s="196">
        <f>G31-F31</f>
        <v/>
      </c>
      <c r="I31" s="241">
        <f>D16*F24</f>
        <v/>
      </c>
      <c r="J31" s="186">
        <f>E16*F24</f>
        <v/>
      </c>
      <c r="K31" s="196">
        <f>J31-I31</f>
        <v/>
      </c>
      <c r="L31" s="242">
        <f>F31+I31</f>
        <v/>
      </c>
      <c r="M31" s="186">
        <f>G31+J31</f>
        <v/>
      </c>
      <c r="N31" s="196">
        <f>M31-L31</f>
        <v/>
      </c>
    </row>
    <row r="32" ht="23.25" customHeight="1" s="170">
      <c r="B32" s="163" t="inlineStr">
        <is>
          <t>PVBBrand UltraClear B200 NR 0,76mm 2440</t>
        </is>
      </c>
      <c r="C32" s="157" t="inlineStr">
        <is>
          <t>EUR/m²</t>
        </is>
      </c>
      <c r="D32" s="239">
        <f>D17</f>
        <v/>
      </c>
      <c r="E32" s="240">
        <f>E17</f>
        <v/>
      </c>
      <c r="F32" s="241">
        <f>D17*E25</f>
        <v/>
      </c>
      <c r="G32" s="186">
        <f>E17*E25</f>
        <v/>
      </c>
      <c r="H32" s="196">
        <f>G32-F32</f>
        <v/>
      </c>
      <c r="I32" s="241">
        <f>D17*F25</f>
        <v/>
      </c>
      <c r="J32" s="186">
        <f>E17*F25</f>
        <v/>
      </c>
      <c r="K32" s="196">
        <f>J32-I32</f>
        <v/>
      </c>
      <c r="L32" s="242">
        <f>F32+I32</f>
        <v/>
      </c>
      <c r="M32" s="186">
        <f>G32+J32</f>
        <v/>
      </c>
      <c r="N32" s="196">
        <f>M32-L32</f>
        <v/>
      </c>
    </row>
    <row r="33" ht="15" customHeight="1" s="170">
      <c r="B33" s="163" t="inlineStr">
        <is>
          <t>Saflex 0,38mm 2550 Clear</t>
        </is>
      </c>
      <c r="C33" s="157" t="inlineStr">
        <is>
          <t>EUR/m²</t>
        </is>
      </c>
      <c r="D33" s="239">
        <f>D18</f>
        <v/>
      </c>
      <c r="E33" s="240">
        <f>E18</f>
        <v/>
      </c>
      <c r="F33" s="241">
        <f>D18*E26</f>
        <v/>
      </c>
      <c r="G33" s="186">
        <f>E18*E26</f>
        <v/>
      </c>
      <c r="H33" s="196">
        <f>G33-F33</f>
        <v/>
      </c>
      <c r="I33" s="241">
        <f>D18*F26</f>
        <v/>
      </c>
      <c r="J33" s="186">
        <f>E18*F26</f>
        <v/>
      </c>
      <c r="K33" s="196">
        <f>J33-I33</f>
        <v/>
      </c>
      <c r="L33" s="242">
        <f>F33+I33</f>
        <v/>
      </c>
      <c r="M33" s="186">
        <f>G33+J33</f>
        <v/>
      </c>
      <c r="N33" s="196">
        <f>M33-L33</f>
        <v/>
      </c>
    </row>
    <row r="34" ht="15" customHeight="1" s="170">
      <c r="B34" s="163" t="inlineStr">
        <is>
          <t>Saflex 0,38mm 2550 Dusk Brown</t>
        </is>
      </c>
      <c r="C34" s="157" t="inlineStr">
        <is>
          <t>EUR/m²</t>
        </is>
      </c>
      <c r="D34" s="239">
        <f>D19</f>
        <v/>
      </c>
      <c r="E34" s="240">
        <f>E19</f>
        <v/>
      </c>
      <c r="F34" s="241">
        <f>D19*E27</f>
        <v/>
      </c>
      <c r="G34" s="186">
        <f>E19*E27</f>
        <v/>
      </c>
      <c r="H34" s="196">
        <f>G34-F34</f>
        <v/>
      </c>
      <c r="I34" s="241">
        <f>D19*F27</f>
        <v/>
      </c>
      <c r="J34" s="186">
        <f>E19*F27</f>
        <v/>
      </c>
      <c r="K34" s="196">
        <f>J34-I34</f>
        <v/>
      </c>
      <c r="L34" s="242">
        <f>F34+I34</f>
        <v/>
      </c>
      <c r="M34" s="186">
        <f>G34+J34</f>
        <v/>
      </c>
      <c r="N34" s="196">
        <f>M34-L34</f>
        <v/>
      </c>
    </row>
    <row r="35" ht="15" customHeight="1" s="170">
      <c r="B35" s="111" t="inlineStr">
        <is>
          <t>CELKEM</t>
        </is>
      </c>
      <c r="C35" s="27" t="n"/>
      <c r="D35" s="27" t="n"/>
      <c r="E35" s="27" t="n"/>
      <c r="F35" s="249">
        <f>SUM(F31:F34)</f>
        <v/>
      </c>
      <c r="G35" s="249">
        <f>SUM(G31:G34)</f>
        <v/>
      </c>
      <c r="H35" s="196">
        <f>SUM(H31:H34)</f>
        <v/>
      </c>
      <c r="I35" s="249">
        <f>SUM(I31:I34)</f>
        <v/>
      </c>
      <c r="J35" s="249">
        <f>SUM(J31:J34)</f>
        <v/>
      </c>
      <c r="K35" s="196">
        <f>SUM(K31:K34)</f>
        <v/>
      </c>
      <c r="L35" s="249">
        <f>SUM(L31:L34)</f>
        <v/>
      </c>
      <c r="M35" s="249">
        <f>SUM(M31:M34)</f>
        <v/>
      </c>
      <c r="N35" s="196">
        <f>SUM(N31:N34)</f>
        <v/>
      </c>
    </row>
    <row r="36"/>
    <row r="37" ht="26.25" customHeight="1" s="170">
      <c r="B37" s="171" t="inlineStr">
        <is>
          <t>C2) FINANČNÍ DOPAD – SCÉNÁŘ STŘEDNÍ</t>
        </is>
      </c>
      <c r="C37" s="173" t="n"/>
      <c r="D37" s="173" t="n"/>
      <c r="E37" s="173" t="n"/>
      <c r="F37" s="173" t="n"/>
      <c r="G37" s="173" t="n"/>
      <c r="H37" s="173" t="n"/>
      <c r="I37" s="173" t="n"/>
      <c r="J37" s="173" t="n"/>
      <c r="K37" s="173" t="n"/>
      <c r="L37" s="173" t="n"/>
      <c r="M37" s="173" t="n"/>
      <c r="N37" s="173" t="n"/>
    </row>
    <row r="38" ht="23.25" customHeight="1" s="170">
      <c r="B38" s="7" t="inlineStr">
        <is>
          <t>Produkt</t>
        </is>
      </c>
      <c r="C38" s="7" t="n"/>
      <c r="D38" s="7" t="inlineStr">
        <is>
          <t>Aktuální
jedn. cena</t>
        </is>
      </c>
      <c r="E38" s="7" t="inlineStr">
        <is>
          <t>Nová
jedn. cena</t>
        </is>
      </c>
      <c r="F38" s="7" t="inlineStr">
        <is>
          <t>Náklady Q2
AKTUÁLNÍ</t>
        </is>
      </c>
      <c r="G38" s="7" t="inlineStr">
        <is>
          <t>Náklady Q2
NOVÉ</t>
        </is>
      </c>
      <c r="H38" s="7" t="inlineStr">
        <is>
          <t>Rozdíl Q2
(EUR)</t>
        </is>
      </c>
      <c r="I38" s="7" t="inlineStr">
        <is>
          <t>Náklady Q3
AKTUÁLNÍ</t>
        </is>
      </c>
      <c r="J38" s="7" t="inlineStr">
        <is>
          <t>Náklady Q3
NOVÉ</t>
        </is>
      </c>
      <c r="K38" s="7" t="inlineStr">
        <is>
          <t>Rozdíl Q3
(EUR)</t>
        </is>
      </c>
      <c r="L38" s="7" t="inlineStr">
        <is>
          <t>Celkem 6M
AKTUÁLNÍ</t>
        </is>
      </c>
      <c r="M38" s="7" t="inlineStr">
        <is>
          <t>Celkem 6M
NOVÉ</t>
        </is>
      </c>
      <c r="N38" s="7" t="inlineStr">
        <is>
          <t>Celkový rozdíl
6M (EUR)</t>
        </is>
      </c>
    </row>
    <row r="39" ht="15" customHeight="1" s="170">
      <c r="B39" s="163" t="inlineStr">
        <is>
          <t>PVBBrand Clear B200 0,76mm 2600</t>
        </is>
      </c>
      <c r="C39" s="157" t="inlineStr">
        <is>
          <t>EUR/m²</t>
        </is>
      </c>
      <c r="D39" s="239">
        <f>D16</f>
        <v/>
      </c>
      <c r="E39" s="244">
        <f>H16</f>
        <v/>
      </c>
      <c r="F39" s="241">
        <f>D16*E24</f>
        <v/>
      </c>
      <c r="G39" s="189">
        <f>H16*E24</f>
        <v/>
      </c>
      <c r="H39" s="196">
        <f>G39-F39</f>
        <v/>
      </c>
      <c r="I39" s="241">
        <f>D16*F24</f>
        <v/>
      </c>
      <c r="J39" s="189">
        <f>H16*F24</f>
        <v/>
      </c>
      <c r="K39" s="196">
        <f>J39-I39</f>
        <v/>
      </c>
      <c r="L39" s="242">
        <f>F39+I39</f>
        <v/>
      </c>
      <c r="M39" s="189">
        <f>G39+J39</f>
        <v/>
      </c>
      <c r="N39" s="196">
        <f>M39-L39</f>
        <v/>
      </c>
    </row>
    <row r="40" ht="23.25" customHeight="1" s="170">
      <c r="B40" s="163" t="inlineStr">
        <is>
          <t>PVBBrand UltraClear B200 NR 0,76mm 2440</t>
        </is>
      </c>
      <c r="C40" s="157" t="inlineStr">
        <is>
          <t>EUR/m²</t>
        </is>
      </c>
      <c r="D40" s="239">
        <f>D17</f>
        <v/>
      </c>
      <c r="E40" s="244">
        <f>H17</f>
        <v/>
      </c>
      <c r="F40" s="241">
        <f>D17*E25</f>
        <v/>
      </c>
      <c r="G40" s="189">
        <f>H17*E25</f>
        <v/>
      </c>
      <c r="H40" s="196">
        <f>G40-F40</f>
        <v/>
      </c>
      <c r="I40" s="241">
        <f>D17*F25</f>
        <v/>
      </c>
      <c r="J40" s="189">
        <f>H17*F25</f>
        <v/>
      </c>
      <c r="K40" s="196">
        <f>J40-I40</f>
        <v/>
      </c>
      <c r="L40" s="242">
        <f>F40+I40</f>
        <v/>
      </c>
      <c r="M40" s="189">
        <f>G40+J40</f>
        <v/>
      </c>
      <c r="N40" s="196">
        <f>M40-L40</f>
        <v/>
      </c>
    </row>
    <row r="41" ht="15" customHeight="1" s="170">
      <c r="B41" s="163" t="inlineStr">
        <is>
          <t>Saflex 0,38mm 2550 Clear</t>
        </is>
      </c>
      <c r="C41" s="157" t="inlineStr">
        <is>
          <t>EUR/m²</t>
        </is>
      </c>
      <c r="D41" s="239">
        <f>D18</f>
        <v/>
      </c>
      <c r="E41" s="244">
        <f>H18</f>
        <v/>
      </c>
      <c r="F41" s="241">
        <f>D18*E26</f>
        <v/>
      </c>
      <c r="G41" s="189">
        <f>H18*E26</f>
        <v/>
      </c>
      <c r="H41" s="196">
        <f>G41-F41</f>
        <v/>
      </c>
      <c r="I41" s="241">
        <f>D18*F26</f>
        <v/>
      </c>
      <c r="J41" s="189">
        <f>H18*F26</f>
        <v/>
      </c>
      <c r="K41" s="196">
        <f>J41-I41</f>
        <v/>
      </c>
      <c r="L41" s="242">
        <f>F41+I41</f>
        <v/>
      </c>
      <c r="M41" s="189">
        <f>G41+J41</f>
        <v/>
      </c>
      <c r="N41" s="196">
        <f>M41-L41</f>
        <v/>
      </c>
    </row>
    <row r="42" ht="15" customHeight="1" s="170">
      <c r="B42" s="163" t="inlineStr">
        <is>
          <t>Saflex 0,38mm 2550 Dusk Brown</t>
        </is>
      </c>
      <c r="C42" s="157" t="inlineStr">
        <is>
          <t>EUR/m²</t>
        </is>
      </c>
      <c r="D42" s="239">
        <f>D19</f>
        <v/>
      </c>
      <c r="E42" s="244">
        <f>H19</f>
        <v/>
      </c>
      <c r="F42" s="241">
        <f>D19*E27</f>
        <v/>
      </c>
      <c r="G42" s="189">
        <f>H19*E27</f>
        <v/>
      </c>
      <c r="H42" s="196">
        <f>G42-F42</f>
        <v/>
      </c>
      <c r="I42" s="241">
        <f>D19*F27</f>
        <v/>
      </c>
      <c r="J42" s="189">
        <f>H19*F27</f>
        <v/>
      </c>
      <c r="K42" s="196">
        <f>J42-I42</f>
        <v/>
      </c>
      <c r="L42" s="242">
        <f>F42+I42</f>
        <v/>
      </c>
      <c r="M42" s="189">
        <f>G42+J42</f>
        <v/>
      </c>
      <c r="N42" s="196">
        <f>M42-L42</f>
        <v/>
      </c>
    </row>
    <row r="43" ht="15" customHeight="1" s="170">
      <c r="B43" s="111" t="inlineStr">
        <is>
          <t>CELKEM</t>
        </is>
      </c>
      <c r="C43" s="27" t="n"/>
      <c r="D43" s="27" t="n"/>
      <c r="E43" s="27" t="n"/>
      <c r="F43" s="249">
        <f>SUM(F39:F42)</f>
        <v/>
      </c>
      <c r="G43" s="249">
        <f>SUM(G39:G42)</f>
        <v/>
      </c>
      <c r="H43" s="196">
        <f>SUM(H39:H42)</f>
        <v/>
      </c>
      <c r="I43" s="249">
        <f>SUM(I39:I42)</f>
        <v/>
      </c>
      <c r="J43" s="249">
        <f>SUM(J39:J42)</f>
        <v/>
      </c>
      <c r="K43" s="196">
        <f>SUM(K39:K42)</f>
        <v/>
      </c>
      <c r="L43" s="249">
        <f>SUM(L39:L42)</f>
        <v/>
      </c>
      <c r="M43" s="249">
        <f>SUM(M39:M42)</f>
        <v/>
      </c>
      <c r="N43" s="196">
        <f>SUM(N39:N42)</f>
        <v/>
      </c>
    </row>
    <row r="44"/>
    <row r="45" ht="26.25" customHeight="1" s="170">
      <c r="B45" s="171" t="inlineStr">
        <is>
          <t>C3) FINANČNÍ DOPAD – SCÉNÁŘ KRIZOVÝ</t>
        </is>
      </c>
      <c r="C45" s="173" t="n"/>
      <c r="D45" s="173" t="n"/>
      <c r="E45" s="173" t="n"/>
      <c r="F45" s="173" t="n"/>
      <c r="G45" s="173" t="n"/>
      <c r="H45" s="173" t="n"/>
      <c r="I45" s="173" t="n"/>
      <c r="J45" s="173" t="n"/>
      <c r="K45" s="173" t="n"/>
      <c r="L45" s="173" t="n"/>
      <c r="M45" s="173" t="n"/>
      <c r="N45" s="173" t="n"/>
    </row>
    <row r="46" ht="23.25" customHeight="1" s="170">
      <c r="B46" s="7" t="inlineStr">
        <is>
          <t>Produkt</t>
        </is>
      </c>
      <c r="C46" s="7" t="n"/>
      <c r="D46" s="7" t="inlineStr">
        <is>
          <t>Aktuální
jedn. cena</t>
        </is>
      </c>
      <c r="E46" s="7" t="inlineStr">
        <is>
          <t>Nová
jedn. cena</t>
        </is>
      </c>
      <c r="F46" s="7" t="inlineStr">
        <is>
          <t>Náklady Q2
AKTUÁLNÍ</t>
        </is>
      </c>
      <c r="G46" s="7" t="inlineStr">
        <is>
          <t>Náklady Q2
NOVÉ</t>
        </is>
      </c>
      <c r="H46" s="7" t="inlineStr">
        <is>
          <t>Rozdíl Q2
(EUR)</t>
        </is>
      </c>
      <c r="I46" s="7" t="inlineStr">
        <is>
          <t>Náklady Q3
AKTUÁLNÍ</t>
        </is>
      </c>
      <c r="J46" s="7" t="inlineStr">
        <is>
          <t>Náklady Q3
NOVÉ</t>
        </is>
      </c>
      <c r="K46" s="7" t="inlineStr">
        <is>
          <t>Rozdíl Q3
(EUR)</t>
        </is>
      </c>
      <c r="L46" s="7" t="inlineStr">
        <is>
          <t>Celkem 6M
AKTUÁLNÍ</t>
        </is>
      </c>
      <c r="M46" s="7" t="inlineStr">
        <is>
          <t>Celkem 6M
NOVÉ</t>
        </is>
      </c>
      <c r="N46" s="7" t="inlineStr">
        <is>
          <t>Celkový rozdíl
6M (EUR)</t>
        </is>
      </c>
    </row>
    <row r="47" ht="15" customHeight="1" s="170">
      <c r="B47" s="163" t="inlineStr">
        <is>
          <t>PVBBrand Clear B200 0,76mm 2600</t>
        </is>
      </c>
      <c r="C47" s="157" t="inlineStr">
        <is>
          <t>EUR/m²</t>
        </is>
      </c>
      <c r="D47" s="239">
        <f>D16</f>
        <v/>
      </c>
      <c r="E47" s="245">
        <f>K16</f>
        <v/>
      </c>
      <c r="F47" s="241">
        <f>D16*E24</f>
        <v/>
      </c>
      <c r="G47" s="193">
        <f>K16*E24</f>
        <v/>
      </c>
      <c r="H47" s="196">
        <f>G47-F47</f>
        <v/>
      </c>
      <c r="I47" s="241">
        <f>D16*F24</f>
        <v/>
      </c>
      <c r="J47" s="193">
        <f>K16*F24</f>
        <v/>
      </c>
      <c r="K47" s="196">
        <f>J47-I47</f>
        <v/>
      </c>
      <c r="L47" s="242">
        <f>F47+I47</f>
        <v/>
      </c>
      <c r="M47" s="193">
        <f>G47+J47</f>
        <v/>
      </c>
      <c r="N47" s="196">
        <f>M47-L47</f>
        <v/>
      </c>
    </row>
    <row r="48" ht="23.25" customHeight="1" s="170">
      <c r="B48" s="163" t="inlineStr">
        <is>
          <t>PVBBrand UltraClear B200 NR 0,76mm 2440</t>
        </is>
      </c>
      <c r="C48" s="157" t="inlineStr">
        <is>
          <t>EUR/m²</t>
        </is>
      </c>
      <c r="D48" s="239">
        <f>D17</f>
        <v/>
      </c>
      <c r="E48" s="245">
        <f>K17</f>
        <v/>
      </c>
      <c r="F48" s="241">
        <f>D17*E25</f>
        <v/>
      </c>
      <c r="G48" s="193">
        <f>K17*E25</f>
        <v/>
      </c>
      <c r="H48" s="196">
        <f>G48-F48</f>
        <v/>
      </c>
      <c r="I48" s="241">
        <f>D17*F25</f>
        <v/>
      </c>
      <c r="J48" s="193">
        <f>K17*F25</f>
        <v/>
      </c>
      <c r="K48" s="196">
        <f>J48-I48</f>
        <v/>
      </c>
      <c r="L48" s="242">
        <f>F48+I48</f>
        <v/>
      </c>
      <c r="M48" s="193">
        <f>G48+J48</f>
        <v/>
      </c>
      <c r="N48" s="196">
        <f>M48-L48</f>
        <v/>
      </c>
    </row>
    <row r="49" ht="15" customHeight="1" s="170">
      <c r="B49" s="163" t="inlineStr">
        <is>
          <t>Saflex 0,38mm 2550 Clear</t>
        </is>
      </c>
      <c r="C49" s="157" t="inlineStr">
        <is>
          <t>EUR/m²</t>
        </is>
      </c>
      <c r="D49" s="239">
        <f>D18</f>
        <v/>
      </c>
      <c r="E49" s="245">
        <f>K18</f>
        <v/>
      </c>
      <c r="F49" s="241">
        <f>D18*E26</f>
        <v/>
      </c>
      <c r="G49" s="193">
        <f>K18*E26</f>
        <v/>
      </c>
      <c r="H49" s="196">
        <f>G49-F49</f>
        <v/>
      </c>
      <c r="I49" s="241">
        <f>D18*F26</f>
        <v/>
      </c>
      <c r="J49" s="193">
        <f>K18*F26</f>
        <v/>
      </c>
      <c r="K49" s="196">
        <f>J49-I49</f>
        <v/>
      </c>
      <c r="L49" s="242">
        <f>F49+I49</f>
        <v/>
      </c>
      <c r="M49" s="193">
        <f>G49+J49</f>
        <v/>
      </c>
      <c r="N49" s="196">
        <f>M49-L49</f>
        <v/>
      </c>
    </row>
    <row r="50" ht="15" customHeight="1" s="170">
      <c r="B50" s="163" t="inlineStr">
        <is>
          <t>Saflex 0,38mm 2550 Dusk Brown</t>
        </is>
      </c>
      <c r="C50" s="157" t="inlineStr">
        <is>
          <t>EUR/m²</t>
        </is>
      </c>
      <c r="D50" s="239">
        <f>D19</f>
        <v/>
      </c>
      <c r="E50" s="245">
        <f>K19</f>
        <v/>
      </c>
      <c r="F50" s="241">
        <f>D19*E27</f>
        <v/>
      </c>
      <c r="G50" s="193">
        <f>K19*E27</f>
        <v/>
      </c>
      <c r="H50" s="196">
        <f>G50-F50</f>
        <v/>
      </c>
      <c r="I50" s="241">
        <f>D19*F27</f>
        <v/>
      </c>
      <c r="J50" s="193">
        <f>K19*F27</f>
        <v/>
      </c>
      <c r="K50" s="196">
        <f>J50-I50</f>
        <v/>
      </c>
      <c r="L50" s="242">
        <f>F50+I50</f>
        <v/>
      </c>
      <c r="M50" s="193">
        <f>G50+J50</f>
        <v/>
      </c>
      <c r="N50" s="196">
        <f>M50-L50</f>
        <v/>
      </c>
    </row>
    <row r="51" ht="15" customHeight="1" s="170">
      <c r="B51" s="111" t="inlineStr">
        <is>
          <t>CELKEM</t>
        </is>
      </c>
      <c r="C51" s="27" t="n"/>
      <c r="D51" s="27" t="n"/>
      <c r="E51" s="27" t="n"/>
      <c r="F51" s="249">
        <f>SUM(F47:F50)</f>
        <v/>
      </c>
      <c r="G51" s="249">
        <f>SUM(G47:G50)</f>
        <v/>
      </c>
      <c r="H51" s="196">
        <f>SUM(H47:H50)</f>
        <v/>
      </c>
      <c r="I51" s="249">
        <f>SUM(I47:I50)</f>
        <v/>
      </c>
      <c r="J51" s="249">
        <f>SUM(J47:J50)</f>
        <v/>
      </c>
      <c r="K51" s="196">
        <f>SUM(K47:K50)</f>
        <v/>
      </c>
      <c r="L51" s="249">
        <f>SUM(L47:L50)</f>
        <v/>
      </c>
      <c r="M51" s="249">
        <f>SUM(M47:M50)</f>
        <v/>
      </c>
      <c r="N51" s="196">
        <f>SUM(N47:N50)</f>
        <v/>
      </c>
    </row>
    <row r="52"/>
    <row r="53"/>
    <row r="54" ht="26.25" customHeight="1" s="170">
      <c r="B54" s="171" t="inlineStr">
        <is>
          <t>D) PREDIKCE vs. REALITA – POROVNÁNÍ S DODAVATELEM</t>
        </is>
      </c>
      <c r="C54" s="173" t="n"/>
      <c r="D54" s="173" t="n"/>
      <c r="E54" s="173" t="n"/>
      <c r="F54" s="173" t="n"/>
      <c r="G54" s="173" t="n"/>
      <c r="H54" s="173" t="n"/>
      <c r="I54" s="173" t="n"/>
      <c r="J54" s="173" t="n"/>
      <c r="K54" s="173" t="n"/>
      <c r="L54" s="173" t="n"/>
      <c r="M54" s="173" t="n"/>
      <c r="N54" s="173" t="n"/>
      <c r="O54" s="173" t="n"/>
    </row>
    <row r="55" ht="25.5" customHeight="1" s="170">
      <c r="B55" s="7" t="inlineStr">
        <is>
          <t>Produkt</t>
        </is>
      </c>
      <c r="C55" s="7" t="inlineStr">
        <is>
          <t>Jednotka</t>
        </is>
      </c>
      <c r="D55" s="7" t="inlineStr">
        <is>
          <t>Aktuální
cena</t>
        </is>
      </c>
      <c r="E55" s="7" t="inlineStr">
        <is>
          <t>Predikce
MÍRNÝ</t>
        </is>
      </c>
      <c r="F55" s="7" t="inlineStr">
        <is>
          <t>Predikce
STŘEDNÍ</t>
        </is>
      </c>
      <c r="G55" s="7" t="inlineStr">
        <is>
          <t>Predikce
KRIZOVÝ</t>
        </is>
      </c>
      <c r="H55" s="7" t="inlineStr">
        <is>
          <t>Reálná nová
cena (EUR)</t>
        </is>
      </c>
      <c r="I55" s="7" t="inlineStr">
        <is>
          <t>Reálné
zdražení (%)</t>
        </is>
      </c>
      <c r="J55" s="7" t="inlineStr">
        <is>
          <t>Reálný vs.
Mírný</t>
        </is>
      </c>
      <c r="K55" s="7" t="inlineStr">
        <is>
          <t>Reálný vs.
Střední</t>
        </is>
      </c>
      <c r="L55" s="7" t="inlineStr">
        <is>
          <t>Reálný vs.
Krizový</t>
        </is>
      </c>
      <c r="M55" s="7" t="inlineStr">
        <is>
          <t>Měs. objem</t>
        </is>
      </c>
      <c r="N55" s="7" t="inlineStr">
        <is>
          <t>Reálný dopad
měsíční (EUR)</t>
        </is>
      </c>
      <c r="O55" s="7" t="inlineStr">
        <is>
          <t>Reálný dopad
6M (EUR)</t>
        </is>
      </c>
      <c r="P55" s="155" t="inlineStr">
        <is>
          <t>Zdražení
od</t>
        </is>
      </c>
    </row>
    <row r="56" ht="15" customHeight="1" s="170">
      <c r="B56" s="163" t="inlineStr">
        <is>
          <t>PVBBrand Clear B200 0,76mm 2600</t>
        </is>
      </c>
      <c r="C56" s="157" t="inlineStr">
        <is>
          <t>EUR/m²</t>
        </is>
      </c>
      <c r="D56" s="239">
        <f>D16</f>
        <v/>
      </c>
      <c r="E56" s="240">
        <f>E16</f>
        <v/>
      </c>
      <c r="F56" s="244">
        <f>H16</f>
        <v/>
      </c>
      <c r="G56" s="245">
        <f>K16</f>
        <v/>
      </c>
      <c r="H56" s="48" t="inlineStr">
        <is>
          <t>Doplnit</t>
        </is>
      </c>
      <c r="I56" s="49" t="inlineStr">
        <is>
          <t>Čekáme</t>
        </is>
      </c>
      <c r="J56" s="49" t="inlineStr">
        <is>
          <t>–</t>
        </is>
      </c>
      <c r="K56" s="49" t="inlineStr">
        <is>
          <t>–</t>
        </is>
      </c>
      <c r="L56" s="49" t="inlineStr">
        <is>
          <t>–</t>
        </is>
      </c>
      <c r="M56" s="49" t="inlineStr">
        <is>
          <t>–</t>
        </is>
      </c>
      <c r="N56" s="49" t="inlineStr">
        <is>
          <t>–</t>
        </is>
      </c>
      <c r="O56" s="49" t="inlineStr">
        <is>
          <t>–</t>
        </is>
      </c>
      <c r="P56" s="50" t="inlineStr">
        <is>
          <t>Čekáme</t>
        </is>
      </c>
    </row>
    <row r="57" ht="23.25" customHeight="1" s="170">
      <c r="B57" s="163" t="inlineStr">
        <is>
          <t>PVBBrand UltraClear B200 NR 0,76mm 2440</t>
        </is>
      </c>
      <c r="C57" s="157" t="inlineStr">
        <is>
          <t>EUR/m²</t>
        </is>
      </c>
      <c r="D57" s="239">
        <f>D17</f>
        <v/>
      </c>
      <c r="E57" s="240">
        <f>E17</f>
        <v/>
      </c>
      <c r="F57" s="244">
        <f>H17</f>
        <v/>
      </c>
      <c r="G57" s="245">
        <f>K17</f>
        <v/>
      </c>
      <c r="H57" s="48" t="inlineStr">
        <is>
          <t>Doplnit</t>
        </is>
      </c>
      <c r="I57" s="49" t="inlineStr">
        <is>
          <t>Čekáme</t>
        </is>
      </c>
      <c r="J57" s="49" t="inlineStr">
        <is>
          <t>–</t>
        </is>
      </c>
      <c r="K57" s="49" t="inlineStr">
        <is>
          <t>–</t>
        </is>
      </c>
      <c r="L57" s="49" t="inlineStr">
        <is>
          <t>–</t>
        </is>
      </c>
      <c r="M57" s="49" t="inlineStr">
        <is>
          <t>–</t>
        </is>
      </c>
      <c r="N57" s="49" t="inlineStr">
        <is>
          <t>–</t>
        </is>
      </c>
      <c r="O57" s="49" t="inlineStr">
        <is>
          <t>–</t>
        </is>
      </c>
      <c r="P57" s="50" t="inlineStr">
        <is>
          <t>Čekáme</t>
        </is>
      </c>
    </row>
    <row r="58" ht="15" customHeight="1" s="170">
      <c r="B58" s="163" t="inlineStr">
        <is>
          <t>Saflex 0,38mm 2550 Clear</t>
        </is>
      </c>
      <c r="C58" s="157" t="inlineStr">
        <is>
          <t>EUR/m²</t>
        </is>
      </c>
      <c r="D58" s="239">
        <f>D18</f>
        <v/>
      </c>
      <c r="E58" s="240">
        <f>E18</f>
        <v/>
      </c>
      <c r="F58" s="244">
        <f>H18</f>
        <v/>
      </c>
      <c r="G58" s="245">
        <f>K18</f>
        <v/>
      </c>
      <c r="H58" s="48" t="inlineStr">
        <is>
          <t>Doplnit</t>
        </is>
      </c>
      <c r="I58" s="49" t="inlineStr">
        <is>
          <t>Čekáme</t>
        </is>
      </c>
      <c r="J58" s="49" t="inlineStr">
        <is>
          <t>–</t>
        </is>
      </c>
      <c r="K58" s="49" t="inlineStr">
        <is>
          <t>–</t>
        </is>
      </c>
      <c r="L58" s="49" t="inlineStr">
        <is>
          <t>–</t>
        </is>
      </c>
      <c r="M58" s="49" t="inlineStr">
        <is>
          <t>–</t>
        </is>
      </c>
      <c r="N58" s="49" t="inlineStr">
        <is>
          <t>–</t>
        </is>
      </c>
      <c r="O58" s="49" t="inlineStr">
        <is>
          <t>–</t>
        </is>
      </c>
      <c r="P58" s="50" t="inlineStr">
        <is>
          <t>Čekáme</t>
        </is>
      </c>
    </row>
    <row r="59" ht="15" customHeight="1" s="170">
      <c r="B59" s="163" t="inlineStr">
        <is>
          <t>Saflex 0,38mm 2550 Dusk Brown</t>
        </is>
      </c>
      <c r="C59" s="157" t="inlineStr">
        <is>
          <t>EUR/m²</t>
        </is>
      </c>
      <c r="D59" s="239">
        <f>D19</f>
        <v/>
      </c>
      <c r="E59" s="240">
        <f>E19</f>
        <v/>
      </c>
      <c r="F59" s="244">
        <f>H19</f>
        <v/>
      </c>
      <c r="G59" s="245">
        <f>K19</f>
        <v/>
      </c>
      <c r="H59" s="48" t="inlineStr">
        <is>
          <t>Doplnit</t>
        </is>
      </c>
      <c r="I59" s="49" t="inlineStr">
        <is>
          <t>Čekáme</t>
        </is>
      </c>
      <c r="J59" s="49" t="inlineStr">
        <is>
          <t>–</t>
        </is>
      </c>
      <c r="K59" s="49" t="inlineStr">
        <is>
          <t>–</t>
        </is>
      </c>
      <c r="L59" s="49" t="inlineStr">
        <is>
          <t>–</t>
        </is>
      </c>
      <c r="M59" s="49" t="inlineStr">
        <is>
          <t>–</t>
        </is>
      </c>
      <c r="N59" s="49" t="inlineStr">
        <is>
          <t>–</t>
        </is>
      </c>
      <c r="O59" s="49" t="inlineStr">
        <is>
          <t>–</t>
        </is>
      </c>
      <c r="P59" s="50" t="inlineStr">
        <is>
          <t>Čekáme</t>
        </is>
      </c>
    </row>
    <row r="60"/>
    <row r="61" ht="15" customHeight="1" s="170">
      <c r="B61" s="165" t="inlineStr">
        <is>
          <t>Status:</t>
        </is>
      </c>
      <c r="C61" s="162" t="inlineStr">
        <is>
          <t>⏳ Čekáme na vyjádření dodavatelů PVBSupplier a PVBSupplierAlt.</t>
        </is>
      </c>
    </row>
  </sheetData>
  <mergeCells count="3">
    <mergeCell ref="B12:J12"/>
    <mergeCell ref="B11:J11"/>
    <mergeCell ref="C61:L61"/>
  </mergeCells>
  <pageMargins left="0.75" right="0.75" top="1" bottom="1" header="0.511811023622047" footer="0.511811023622047"/>
  <pageSetup orientation="portrait" paperSize="9" horizontalDpi="300" verticalDpi="300"/>
  <legacyDrawing xmlns:r="http://schemas.openxmlformats.org/officeDocument/2006/relationships" r:id="anysvml"/>
</worksheet>
</file>

<file path=xl/worksheets/sheet14.xml><?xml version="1.0" encoding="utf-8"?>
<worksheet xmlns="http://schemas.openxmlformats.org/spreadsheetml/2006/main">
  <sheetPr>
    <tabColor rgb="FF795548"/>
    <outlinePr summaryBelow="1" summaryRight="1"/>
    <pageSetUpPr/>
  </sheetPr>
  <dimension ref="A1:P49"/>
  <sheetViews>
    <sheetView zoomScaleNormal="100" workbookViewId="0">
      <selection activeCell="O11" sqref="O11"/>
    </sheetView>
  </sheetViews>
  <sheetFormatPr baseColWidth="8" defaultColWidth="8.7109375" defaultRowHeight="15"/>
  <cols>
    <col width="3" customWidth="1" style="170" min="1" max="1"/>
    <col width="32" customWidth="1" style="170" min="2" max="2"/>
    <col width="14" customWidth="1" style="170" min="3" max="16"/>
  </cols>
  <sheetData>
    <row r="1"/>
    <row r="2" ht="32.25" customHeight="1" s="170">
      <c r="B2" s="2" t="inlineStr">
        <is>
          <t>KERAMICKÉ BARVY NA SKLO – CoatingsSupplier</t>
        </is>
      </c>
    </row>
    <row r="3" ht="39" customHeight="1" s="170">
      <c r="B3" s="32" t="inlineStr">
        <is>
          <t>Analýza cenového dopadu růstu energií – Kvartální výhled Q2–Q3 2026</t>
        </is>
      </c>
    </row>
    <row r="4"/>
    <row r="5" ht="26.25" customHeight="1" s="170">
      <c r="B5" s="171" t="inlineStr">
        <is>
          <t>ENERGETICKÝ PROFIL VÝROBY</t>
        </is>
      </c>
      <c r="C5" s="173" t="n"/>
      <c r="D5" s="173" t="n"/>
      <c r="E5" s="173" t="n"/>
      <c r="F5" s="173" t="n"/>
      <c r="G5" s="173" t="n"/>
      <c r="H5" s="173" t="n"/>
      <c r="I5" s="173" t="n"/>
    </row>
    <row r="6" ht="23.25" customHeight="1" s="170">
      <c r="B6" s="34" t="inlineStr">
        <is>
          <t>Závislost na ropě (petrochemie, transport)</t>
        </is>
      </c>
      <c r="C6" s="233" t="n">
        <v>0.25</v>
      </c>
    </row>
    <row r="7" ht="15" customHeight="1" s="170">
      <c r="B7" s="34" t="inlineStr">
        <is>
          <t>Závislost na plynu (energie, suroviny)</t>
        </is>
      </c>
      <c r="C7" s="233" t="n">
        <v>0.75</v>
      </c>
    </row>
    <row r="8" ht="23.25" customHeight="1" s="170">
      <c r="B8" s="34" t="inlineStr">
        <is>
          <t>Podíl energetických nákladů na výr. ceně</t>
        </is>
      </c>
      <c r="C8" s="233" t="n">
        <v>0.4</v>
      </c>
    </row>
    <row r="9"/>
    <row r="10" ht="21.75" customHeight="1" s="170">
      <c r="B10" s="165" t="inlineStr">
        <is>
          <t>VÝROBNÍ PROCES A ENERGETICKÁ NÁROČNOST:</t>
        </is>
      </c>
    </row>
    <row r="11" ht="54.75" customHeight="1" s="170">
      <c r="B11" s="167" t="inlineStr">
        <is>
          <t>Keramické barvy na sklo se vyrábějí ve 3 krocích: 1) Výroba skelné frity – tavení směsi SiO₂, Na₂CO₃, B₂O₃ a dalších oxidů při 1000–1200 °C v plynové peci, rychlé zchlazení a mletí. 2) Příprava pigmentu – kalcinace kovových oxidů (CoO, Fe₂O₃, Cr₂O₃) při 500–900 °C, mletí na jemný prášek. 3) Míchání s organickým médiem pro sítotisk nebo jiný způsob aplikace. Dodavatel CoatingsSupplier (Valašské Meziříčí) je distributor – výrobci jsou evropské sklářské chemické firmy.</t>
        </is>
      </c>
    </row>
    <row r="12" ht="34.5" customHeight="1" s="170">
      <c r="B12" s="168" t="inlineStr">
        <is>
          <t>Velmi vysoká závislost na plynu (~75 %) – tavení frity a kalcinace pigmentů jsou vysokoteplotní procesy. Ropa (~25 %) ovlivňuje organická média a transport. Podíl energií ~40 % – srovnatelný s molekulovými síty.</t>
        </is>
      </c>
    </row>
    <row r="13"/>
    <row r="14" ht="26.25" customHeight="1" s="170">
      <c r="B14" s="171" t="inlineStr">
        <is>
          <t>A) CENOVÝ MODEL – JEDNOTKOVÁ CENA</t>
        </is>
      </c>
      <c r="C14" s="173" t="n"/>
      <c r="D14" s="173" t="n"/>
      <c r="E14" s="173" t="n"/>
      <c r="F14" s="173" t="n"/>
      <c r="G14" s="173" t="n"/>
      <c r="H14" s="173" t="n"/>
      <c r="I14" s="173" t="n"/>
      <c r="J14" s="173" t="n"/>
      <c r="K14" s="173" t="n"/>
      <c r="L14" s="173" t="n"/>
      <c r="M14" s="173" t="n"/>
    </row>
    <row r="15" ht="34.5" customHeight="1" s="170">
      <c r="B15" s="7" t="inlineStr">
        <is>
          <t>Produkt</t>
        </is>
      </c>
      <c r="C15" s="7" t="inlineStr">
        <is>
          <t>Jednotka</t>
        </is>
      </c>
      <c r="D15" s="7" t="inlineStr">
        <is>
          <t>Aktuální cena
(EUR)</t>
        </is>
      </c>
      <c r="E15" s="7" t="inlineStr">
        <is>
          <t>Scénář MÍRNÝ
(nová cena)</t>
        </is>
      </c>
      <c r="F15" s="7" t="inlineStr">
        <is>
          <t>Rozdíl
(EUR)</t>
        </is>
      </c>
      <c r="G15" s="7" t="inlineStr">
        <is>
          <t>Rozdíl
(%)</t>
        </is>
      </c>
      <c r="H15" s="7" t="inlineStr">
        <is>
          <t>Scénář STŘEDNÍ
(nová cena)</t>
        </is>
      </c>
      <c r="I15" s="7" t="inlineStr">
        <is>
          <t>Rozdíl
(EUR)</t>
        </is>
      </c>
      <c r="J15" s="7" t="inlineStr">
        <is>
          <t>Rozdíl
(%)</t>
        </is>
      </c>
      <c r="K15" s="7" t="inlineStr">
        <is>
          <t>Scénář KRIZOVÝ
(nová cena)</t>
        </is>
      </c>
      <c r="L15" s="7" t="inlineStr">
        <is>
          <t>Rozdíl
(EUR)</t>
        </is>
      </c>
      <c r="M15" s="7" t="inlineStr">
        <is>
          <t>Rozdíl
(%)</t>
        </is>
      </c>
    </row>
    <row r="16" ht="15" customHeight="1" s="170">
      <c r="B16" s="163" t="inlineStr">
        <is>
          <t>SG 7021 A – černošedá</t>
        </is>
      </c>
      <c r="C16" s="157" t="inlineStr">
        <is>
          <t>EUR/kg</t>
        </is>
      </c>
      <c r="D16" s="202" t="n">
        <v>25.67</v>
      </c>
      <c r="E16" s="204">
        <f>D16*(1+C8*(C6*(Ropa_a_plyn!C8-Ropa_a_plyn!C7)/Ropa_a_plyn!C7*0.3+C7*(Ropa_a_plyn!C17-Ropa_a_plyn!C16)/Ropa_a_plyn!C16*0.3))</f>
        <v/>
      </c>
      <c r="F16" s="234">
        <f>E16-D16</f>
        <v/>
      </c>
      <c r="G16" s="235">
        <f>F16/D16</f>
        <v/>
      </c>
      <c r="H16" s="205">
        <f>D16*(1+C8*(C6*(Ropa_a_plyn!C8-Ropa_a_plyn!C7)/Ropa_a_plyn!C7*0.5+C7*(Ropa_a_plyn!C17-Ropa_a_plyn!C16)/Ropa_a_plyn!C16*0.5))</f>
        <v/>
      </c>
      <c r="I16" s="236">
        <f>H16-D16</f>
        <v/>
      </c>
      <c r="J16" s="237">
        <f>I16/D16</f>
        <v/>
      </c>
      <c r="K16" s="206">
        <f>D16*(1+C8*(C6*(Ropa_a_plyn!C8-Ropa_a_plyn!C7)/Ropa_a_plyn!C7*0.75+C7*(Ropa_a_plyn!C17-Ropa_a_plyn!C16)/Ropa_a_plyn!C16*0.75))</f>
        <v/>
      </c>
      <c r="L16" s="238">
        <f>K16-D16</f>
        <v/>
      </c>
      <c r="M16" s="192">
        <f>L16/D16</f>
        <v/>
      </c>
    </row>
    <row r="17" ht="15" customHeight="1" s="170">
      <c r="B17" s="163" t="inlineStr">
        <is>
          <t>SG 7016 A – šedá antracit</t>
        </is>
      </c>
      <c r="C17" s="157" t="inlineStr">
        <is>
          <t>EUR/kg</t>
        </is>
      </c>
      <c r="D17" s="202" t="n">
        <v>29.48</v>
      </c>
      <c r="E17" s="204">
        <f>D17*(1+C8*(C6*(Ropa_a_plyn!C8-Ropa_a_plyn!C7)/Ropa_a_plyn!C7*0.3+C7*(Ropa_a_plyn!C17-Ropa_a_plyn!C16)/Ropa_a_plyn!C16*0.3))</f>
        <v/>
      </c>
      <c r="F17" s="234">
        <f>E17-D17</f>
        <v/>
      </c>
      <c r="G17" s="235">
        <f>F17/D17</f>
        <v/>
      </c>
      <c r="H17" s="205">
        <f>D17*(1+C8*(C6*(Ropa_a_plyn!C8-Ropa_a_plyn!C7)/Ropa_a_plyn!C7*0.5+C7*(Ropa_a_plyn!C17-Ropa_a_plyn!C16)/Ropa_a_plyn!C16*0.5))</f>
        <v/>
      </c>
      <c r="I17" s="236">
        <f>H17-D17</f>
        <v/>
      </c>
      <c r="J17" s="237">
        <f>I17/D17</f>
        <v/>
      </c>
      <c r="K17" s="206">
        <f>D17*(1+C8*(C6*(Ropa_a_plyn!C8-Ropa_a_plyn!C7)/Ropa_a_plyn!C7*0.75+C7*(Ropa_a_plyn!C17-Ropa_a_plyn!C16)/Ropa_a_plyn!C16*0.75))</f>
        <v/>
      </c>
      <c r="L17" s="238">
        <f>K17-D17</f>
        <v/>
      </c>
      <c r="M17" s="192">
        <f>L17/D17</f>
        <v/>
      </c>
    </row>
    <row r="18"/>
    <row r="19"/>
    <row r="20" ht="26.25" customHeight="1" s="170">
      <c r="B20" s="171" t="inlineStr">
        <is>
          <t>B) OBJEMY A KVARTÁLNÍ FINANČNÍ DOPAD</t>
        </is>
      </c>
      <c r="C20" s="173" t="n"/>
      <c r="D20" s="173" t="n"/>
      <c r="E20" s="173" t="n"/>
      <c r="F20" s="173" t="n"/>
      <c r="G20" s="173" t="n"/>
      <c r="H20" s="173" t="n"/>
      <c r="I20" s="173" t="n"/>
      <c r="J20" s="173" t="n"/>
      <c r="K20" s="173" t="n"/>
      <c r="L20" s="173" t="n"/>
      <c r="M20" s="173" t="n"/>
      <c r="N20" s="173" t="n"/>
    </row>
    <row r="21" ht="23.25" customHeight="1" s="170">
      <c r="B21" s="7" t="inlineStr">
        <is>
          <t>Produkt</t>
        </is>
      </c>
      <c r="C21" s="7" t="inlineStr">
        <is>
          <t>Jednotka</t>
        </is>
      </c>
      <c r="D21" s="7" t="inlineStr">
        <is>
          <t>Měsíční objem</t>
        </is>
      </c>
      <c r="E21" s="7" t="inlineStr">
        <is>
          <t>Q2 2026
(Dub–Čer)</t>
        </is>
      </c>
      <c r="F21" s="7" t="inlineStr">
        <is>
          <t>Q3 2026
(Čec–Zář)</t>
        </is>
      </c>
      <c r="G21" s="7" t="inlineStr">
        <is>
          <t>Celkem
6 měsíců</t>
        </is>
      </c>
    </row>
    <row r="22" ht="15" customHeight="1" s="170">
      <c r="B22" s="163" t="inlineStr">
        <is>
          <t>SG 7021 A – černošedá</t>
        </is>
      </c>
      <c r="C22" s="157" t="inlineStr">
        <is>
          <t>EUR/kg</t>
        </is>
      </c>
      <c r="D22" s="40" t="n">
        <v>25</v>
      </c>
      <c r="E22" s="106">
        <f>D22*3</f>
        <v/>
      </c>
      <c r="F22" s="106">
        <f>D22*3</f>
        <v/>
      </c>
      <c r="G22" s="41">
        <f>E22+F22</f>
        <v/>
      </c>
    </row>
    <row r="23" ht="15" customHeight="1" s="170">
      <c r="B23" s="163" t="inlineStr">
        <is>
          <t>SG 7016 A – šedá antracit</t>
        </is>
      </c>
      <c r="C23" s="157" t="inlineStr">
        <is>
          <t>EUR/kg</t>
        </is>
      </c>
      <c r="D23" s="40" t="n">
        <v>21</v>
      </c>
      <c r="E23" s="106">
        <f>D23*3</f>
        <v/>
      </c>
      <c r="F23" s="106">
        <f>D23*3</f>
        <v/>
      </c>
      <c r="G23" s="41">
        <f>E23+F23</f>
        <v/>
      </c>
    </row>
    <row r="24"/>
    <row r="25" ht="26.25" customHeight="1" s="170">
      <c r="B25" s="171" t="inlineStr">
        <is>
          <t>C1) FINANČNÍ DOPAD – SCÉNÁŘ MÍRNÝ</t>
        </is>
      </c>
      <c r="C25" s="173" t="n"/>
      <c r="D25" s="173" t="n"/>
      <c r="E25" s="173" t="n"/>
      <c r="F25" s="173" t="n"/>
      <c r="G25" s="173" t="n"/>
      <c r="H25" s="173" t="n"/>
      <c r="I25" s="173" t="n"/>
      <c r="J25" s="173" t="n"/>
      <c r="K25" s="173" t="n"/>
      <c r="L25" s="173" t="n"/>
      <c r="M25" s="173" t="n"/>
      <c r="N25" s="173" t="n"/>
    </row>
    <row r="26" ht="23.25" customHeight="1" s="170">
      <c r="B26" s="7" t="inlineStr">
        <is>
          <t>Produkt</t>
        </is>
      </c>
      <c r="C26" s="7" t="n"/>
      <c r="D26" s="7" t="inlineStr">
        <is>
          <t>Aktuální
jedn. cena</t>
        </is>
      </c>
      <c r="E26" s="7" t="inlineStr">
        <is>
          <t>Nová
jedn. cena</t>
        </is>
      </c>
      <c r="F26" s="7" t="inlineStr">
        <is>
          <t>Náklady Q2
AKTUÁLNÍ</t>
        </is>
      </c>
      <c r="G26" s="7" t="inlineStr">
        <is>
          <t>Náklady Q2
NOVÉ</t>
        </is>
      </c>
      <c r="H26" s="7" t="inlineStr">
        <is>
          <t>Rozdíl Q2
(EUR)</t>
        </is>
      </c>
      <c r="I26" s="7" t="inlineStr">
        <is>
          <t>Náklady Q3
AKTUÁLNÍ</t>
        </is>
      </c>
      <c r="J26" s="7" t="inlineStr">
        <is>
          <t>Náklady Q3
NOVÉ</t>
        </is>
      </c>
      <c r="K26" s="7" t="inlineStr">
        <is>
          <t>Rozdíl Q3
(EUR)</t>
        </is>
      </c>
      <c r="L26" s="7" t="inlineStr">
        <is>
          <t>Celkem 6M
AKTUÁLNÍ</t>
        </is>
      </c>
      <c r="M26" s="7" t="inlineStr">
        <is>
          <t>Celkem 6M
NOVÉ</t>
        </is>
      </c>
      <c r="N26" s="7" t="inlineStr">
        <is>
          <t>Celkový rozdíl
6M (EUR)</t>
        </is>
      </c>
    </row>
    <row r="27" ht="15" customHeight="1" s="170">
      <c r="B27" s="163" t="inlineStr">
        <is>
          <t>SG 7021 A – černošedá</t>
        </is>
      </c>
      <c r="C27" s="157" t="inlineStr">
        <is>
          <t>EUR/kg</t>
        </is>
      </c>
      <c r="D27" s="239">
        <f>D16</f>
        <v/>
      </c>
      <c r="E27" s="240">
        <f>E16</f>
        <v/>
      </c>
      <c r="F27" s="241">
        <f>D16*E22</f>
        <v/>
      </c>
      <c r="G27" s="186">
        <f>E16*E22</f>
        <v/>
      </c>
      <c r="H27" s="196">
        <f>G27-F27</f>
        <v/>
      </c>
      <c r="I27" s="241">
        <f>D16*F22</f>
        <v/>
      </c>
      <c r="J27" s="186">
        <f>E16*F22</f>
        <v/>
      </c>
      <c r="K27" s="196">
        <f>J27-I27</f>
        <v/>
      </c>
      <c r="L27" s="242">
        <f>F27+I27</f>
        <v/>
      </c>
      <c r="M27" s="186">
        <f>G27+J27</f>
        <v/>
      </c>
      <c r="N27" s="196">
        <f>M27-L27</f>
        <v/>
      </c>
    </row>
    <row r="28" ht="15" customHeight="1" s="170">
      <c r="B28" s="163" t="inlineStr">
        <is>
          <t>SG 7016 A – šedá antracit</t>
        </is>
      </c>
      <c r="C28" s="157" t="inlineStr">
        <is>
          <t>EUR/kg</t>
        </is>
      </c>
      <c r="D28" s="239">
        <f>D17</f>
        <v/>
      </c>
      <c r="E28" s="240">
        <f>E17</f>
        <v/>
      </c>
      <c r="F28" s="241">
        <f>D17*E23</f>
        <v/>
      </c>
      <c r="G28" s="186">
        <f>E17*E23</f>
        <v/>
      </c>
      <c r="H28" s="196">
        <f>G28-F28</f>
        <v/>
      </c>
      <c r="I28" s="241">
        <f>D17*F23</f>
        <v/>
      </c>
      <c r="J28" s="186">
        <f>E17*F23</f>
        <v/>
      </c>
      <c r="K28" s="196">
        <f>J28-I28</f>
        <v/>
      </c>
      <c r="L28" s="242">
        <f>F28+I28</f>
        <v/>
      </c>
      <c r="M28" s="186">
        <f>G28+J28</f>
        <v/>
      </c>
      <c r="N28" s="196">
        <f>M28-L28</f>
        <v/>
      </c>
    </row>
    <row r="29" ht="15" customHeight="1" s="170">
      <c r="B29" s="111" t="inlineStr">
        <is>
          <t>CELKEM</t>
        </is>
      </c>
      <c r="C29" s="27" t="n"/>
      <c r="D29" s="27" t="n"/>
      <c r="E29" s="27" t="n"/>
      <c r="F29" s="249">
        <f>SUM(F27:F28)</f>
        <v/>
      </c>
      <c r="G29" s="249">
        <f>SUM(G27:G28)</f>
        <v/>
      </c>
      <c r="H29" s="196">
        <f>SUM(H27:H28)</f>
        <v/>
      </c>
      <c r="I29" s="249">
        <f>SUM(I27:I28)</f>
        <v/>
      </c>
      <c r="J29" s="249">
        <f>SUM(J27:J28)</f>
        <v/>
      </c>
      <c r="K29" s="196">
        <f>SUM(K27:K28)</f>
        <v/>
      </c>
      <c r="L29" s="249">
        <f>SUM(L27:L28)</f>
        <v/>
      </c>
      <c r="M29" s="249">
        <f>SUM(M27:M28)</f>
        <v/>
      </c>
      <c r="N29" s="196">
        <f>SUM(N27:N28)</f>
        <v/>
      </c>
    </row>
    <row r="30"/>
    <row r="31" ht="26.25" customHeight="1" s="170">
      <c r="B31" s="171" t="inlineStr">
        <is>
          <t>C2) FINANČNÍ DOPAD – SCÉNÁŘ STŘEDNÍ</t>
        </is>
      </c>
      <c r="C31" s="173" t="n"/>
      <c r="D31" s="173" t="n"/>
      <c r="E31" s="173" t="n"/>
      <c r="F31" s="173" t="n"/>
      <c r="G31" s="173" t="n"/>
      <c r="H31" s="173" t="n"/>
      <c r="I31" s="173" t="n"/>
      <c r="J31" s="173" t="n"/>
      <c r="K31" s="173" t="n"/>
      <c r="L31" s="173" t="n"/>
      <c r="M31" s="173" t="n"/>
      <c r="N31" s="173" t="n"/>
    </row>
    <row r="32" ht="23.25" customHeight="1" s="170">
      <c r="B32" s="7" t="inlineStr">
        <is>
          <t>Produkt</t>
        </is>
      </c>
      <c r="C32" s="7" t="n"/>
      <c r="D32" s="7" t="inlineStr">
        <is>
          <t>Aktuální
jedn. cena</t>
        </is>
      </c>
      <c r="E32" s="7" t="inlineStr">
        <is>
          <t>Nová
jedn. cena</t>
        </is>
      </c>
      <c r="F32" s="7" t="inlineStr">
        <is>
          <t>Náklady Q2
AKTUÁLNÍ</t>
        </is>
      </c>
      <c r="G32" s="7" t="inlineStr">
        <is>
          <t>Náklady Q2
NOVÉ</t>
        </is>
      </c>
      <c r="H32" s="7" t="inlineStr">
        <is>
          <t>Rozdíl Q2
(EUR)</t>
        </is>
      </c>
      <c r="I32" s="7" t="inlineStr">
        <is>
          <t>Náklady Q3
AKTUÁLNÍ</t>
        </is>
      </c>
      <c r="J32" s="7" t="inlineStr">
        <is>
          <t>Náklady Q3
NOVÉ</t>
        </is>
      </c>
      <c r="K32" s="7" t="inlineStr">
        <is>
          <t>Rozdíl Q3
(EUR)</t>
        </is>
      </c>
      <c r="L32" s="7" t="inlineStr">
        <is>
          <t>Celkem 6M
AKTUÁLNÍ</t>
        </is>
      </c>
      <c r="M32" s="7" t="inlineStr">
        <is>
          <t>Celkem 6M
NOVÉ</t>
        </is>
      </c>
      <c r="N32" s="7" t="inlineStr">
        <is>
          <t>Celkový rozdíl
6M (EUR)</t>
        </is>
      </c>
    </row>
    <row r="33" ht="15" customHeight="1" s="170">
      <c r="B33" s="163" t="inlineStr">
        <is>
          <t>SG 7021 A – černošedá</t>
        </is>
      </c>
      <c r="C33" s="157" t="inlineStr">
        <is>
          <t>EUR/kg</t>
        </is>
      </c>
      <c r="D33" s="239">
        <f>D16</f>
        <v/>
      </c>
      <c r="E33" s="244">
        <f>H16</f>
        <v/>
      </c>
      <c r="F33" s="241">
        <f>D16*E22</f>
        <v/>
      </c>
      <c r="G33" s="189">
        <f>H16*E22</f>
        <v/>
      </c>
      <c r="H33" s="196">
        <f>G33-F33</f>
        <v/>
      </c>
      <c r="I33" s="241">
        <f>D16*F22</f>
        <v/>
      </c>
      <c r="J33" s="189">
        <f>H16*F22</f>
        <v/>
      </c>
      <c r="K33" s="196">
        <f>J33-I33</f>
        <v/>
      </c>
      <c r="L33" s="242">
        <f>F33+I33</f>
        <v/>
      </c>
      <c r="M33" s="189">
        <f>G33+J33</f>
        <v/>
      </c>
      <c r="N33" s="196">
        <f>M33-L33</f>
        <v/>
      </c>
    </row>
    <row r="34" ht="15" customHeight="1" s="170">
      <c r="B34" s="163" t="inlineStr">
        <is>
          <t>SG 7016 A – šedá antracit</t>
        </is>
      </c>
      <c r="C34" s="157" t="inlineStr">
        <is>
          <t>EUR/kg</t>
        </is>
      </c>
      <c r="D34" s="239">
        <f>D17</f>
        <v/>
      </c>
      <c r="E34" s="244">
        <f>H17</f>
        <v/>
      </c>
      <c r="F34" s="241">
        <f>D17*E23</f>
        <v/>
      </c>
      <c r="G34" s="189">
        <f>H17*E23</f>
        <v/>
      </c>
      <c r="H34" s="196">
        <f>G34-F34</f>
        <v/>
      </c>
      <c r="I34" s="241">
        <f>D17*F23</f>
        <v/>
      </c>
      <c r="J34" s="189">
        <f>H17*F23</f>
        <v/>
      </c>
      <c r="K34" s="196">
        <f>J34-I34</f>
        <v/>
      </c>
      <c r="L34" s="242">
        <f>F34+I34</f>
        <v/>
      </c>
      <c r="M34" s="189">
        <f>G34+J34</f>
        <v/>
      </c>
      <c r="N34" s="196">
        <f>M34-L34</f>
        <v/>
      </c>
    </row>
    <row r="35" ht="15" customHeight="1" s="170">
      <c r="B35" s="111" t="inlineStr">
        <is>
          <t>CELKEM</t>
        </is>
      </c>
      <c r="C35" s="27" t="n"/>
      <c r="D35" s="27" t="n"/>
      <c r="E35" s="27" t="n"/>
      <c r="F35" s="249">
        <f>SUM(F33:F34)</f>
        <v/>
      </c>
      <c r="G35" s="249">
        <f>SUM(G33:G34)</f>
        <v/>
      </c>
      <c r="H35" s="196">
        <f>SUM(H33:H34)</f>
        <v/>
      </c>
      <c r="I35" s="249">
        <f>SUM(I33:I34)</f>
        <v/>
      </c>
      <c r="J35" s="249">
        <f>SUM(J33:J34)</f>
        <v/>
      </c>
      <c r="K35" s="196">
        <f>SUM(K33:K34)</f>
        <v/>
      </c>
      <c r="L35" s="249">
        <f>SUM(L33:L34)</f>
        <v/>
      </c>
      <c r="M35" s="249">
        <f>SUM(M33:M34)</f>
        <v/>
      </c>
      <c r="N35" s="196">
        <f>SUM(N33:N34)</f>
        <v/>
      </c>
    </row>
    <row r="36"/>
    <row r="37" ht="26.25" customHeight="1" s="170">
      <c r="B37" s="171" t="inlineStr">
        <is>
          <t>C3) FINANČNÍ DOPAD – SCÉNÁŘ KRIZOVÝ</t>
        </is>
      </c>
      <c r="C37" s="173" t="n"/>
      <c r="D37" s="173" t="n"/>
      <c r="E37" s="173" t="n"/>
      <c r="F37" s="173" t="n"/>
      <c r="G37" s="173" t="n"/>
      <c r="H37" s="173" t="n"/>
      <c r="I37" s="173" t="n"/>
      <c r="J37" s="173" t="n"/>
      <c r="K37" s="173" t="n"/>
      <c r="L37" s="173" t="n"/>
      <c r="M37" s="173" t="n"/>
      <c r="N37" s="173" t="n"/>
    </row>
    <row r="38" ht="23.25" customHeight="1" s="170">
      <c r="B38" s="7" t="inlineStr">
        <is>
          <t>Produkt</t>
        </is>
      </c>
      <c r="C38" s="7" t="n"/>
      <c r="D38" s="7" t="inlineStr">
        <is>
          <t>Aktuální
jedn. cena</t>
        </is>
      </c>
      <c r="E38" s="7" t="inlineStr">
        <is>
          <t>Nová
jedn. cena</t>
        </is>
      </c>
      <c r="F38" s="7" t="inlineStr">
        <is>
          <t>Náklady Q2
AKTUÁLNÍ</t>
        </is>
      </c>
      <c r="G38" s="7" t="inlineStr">
        <is>
          <t>Náklady Q2
NOVÉ</t>
        </is>
      </c>
      <c r="H38" s="7" t="inlineStr">
        <is>
          <t>Rozdíl Q2
(EUR)</t>
        </is>
      </c>
      <c r="I38" s="7" t="inlineStr">
        <is>
          <t>Náklady Q3
AKTUÁLNÍ</t>
        </is>
      </c>
      <c r="J38" s="7" t="inlineStr">
        <is>
          <t>Náklady Q3
NOVÉ</t>
        </is>
      </c>
      <c r="K38" s="7" t="inlineStr">
        <is>
          <t>Rozdíl Q3
(EUR)</t>
        </is>
      </c>
      <c r="L38" s="7" t="inlineStr">
        <is>
          <t>Celkem 6M
AKTUÁLNÍ</t>
        </is>
      </c>
      <c r="M38" s="7" t="inlineStr">
        <is>
          <t>Celkem 6M
NOVÉ</t>
        </is>
      </c>
      <c r="N38" s="7" t="inlineStr">
        <is>
          <t>Celkový rozdíl
6M (EUR)</t>
        </is>
      </c>
    </row>
    <row r="39" ht="15" customHeight="1" s="170">
      <c r="B39" s="163" t="inlineStr">
        <is>
          <t>SG 7021 A – černošedá</t>
        </is>
      </c>
      <c r="C39" s="157" t="inlineStr">
        <is>
          <t>EUR/kg</t>
        </is>
      </c>
      <c r="D39" s="239">
        <f>D16</f>
        <v/>
      </c>
      <c r="E39" s="245">
        <f>K16</f>
        <v/>
      </c>
      <c r="F39" s="241">
        <f>D16*E22</f>
        <v/>
      </c>
      <c r="G39" s="193">
        <f>K16*E22</f>
        <v/>
      </c>
      <c r="H39" s="196">
        <f>G39-F39</f>
        <v/>
      </c>
      <c r="I39" s="241">
        <f>D16*F22</f>
        <v/>
      </c>
      <c r="J39" s="193">
        <f>K16*F22</f>
        <v/>
      </c>
      <c r="K39" s="196">
        <f>J39-I39</f>
        <v/>
      </c>
      <c r="L39" s="242">
        <f>F39+I39</f>
        <v/>
      </c>
      <c r="M39" s="193">
        <f>G39+J39</f>
        <v/>
      </c>
      <c r="N39" s="196">
        <f>M39-L39</f>
        <v/>
      </c>
    </row>
    <row r="40" ht="15" customHeight="1" s="170">
      <c r="B40" s="163" t="inlineStr">
        <is>
          <t>SG 7016 A – šedá antracit</t>
        </is>
      </c>
      <c r="C40" s="157" t="inlineStr">
        <is>
          <t>EUR/kg</t>
        </is>
      </c>
      <c r="D40" s="239">
        <f>D17</f>
        <v/>
      </c>
      <c r="E40" s="245">
        <f>K17</f>
        <v/>
      </c>
      <c r="F40" s="241">
        <f>D17*E23</f>
        <v/>
      </c>
      <c r="G40" s="193">
        <f>K17*E23</f>
        <v/>
      </c>
      <c r="H40" s="196">
        <f>G40-F40</f>
        <v/>
      </c>
      <c r="I40" s="241">
        <f>D17*F23</f>
        <v/>
      </c>
      <c r="J40" s="193">
        <f>K17*F23</f>
        <v/>
      </c>
      <c r="K40" s="196">
        <f>J40-I40</f>
        <v/>
      </c>
      <c r="L40" s="242">
        <f>F40+I40</f>
        <v/>
      </c>
      <c r="M40" s="193">
        <f>G40+J40</f>
        <v/>
      </c>
      <c r="N40" s="196">
        <f>M40-L40</f>
        <v/>
      </c>
    </row>
    <row r="41" ht="15" customHeight="1" s="170">
      <c r="B41" s="111" t="inlineStr">
        <is>
          <t>CELKEM</t>
        </is>
      </c>
      <c r="C41" s="27" t="n"/>
      <c r="D41" s="27" t="n"/>
      <c r="E41" s="27" t="n"/>
      <c r="F41" s="249">
        <f>SUM(F39:F40)</f>
        <v/>
      </c>
      <c r="G41" s="249">
        <f>SUM(G39:G40)</f>
        <v/>
      </c>
      <c r="H41" s="196">
        <f>SUM(H39:H40)</f>
        <v/>
      </c>
      <c r="I41" s="249">
        <f>SUM(I39:I40)</f>
        <v/>
      </c>
      <c r="J41" s="249">
        <f>SUM(J39:J40)</f>
        <v/>
      </c>
      <c r="K41" s="196">
        <f>SUM(K39:K40)</f>
        <v/>
      </c>
      <c r="L41" s="249">
        <f>SUM(L39:L40)</f>
        <v/>
      </c>
      <c r="M41" s="249">
        <f>SUM(M39:M40)</f>
        <v/>
      </c>
      <c r="N41" s="196">
        <f>SUM(N39:N40)</f>
        <v/>
      </c>
    </row>
    <row r="42"/>
    <row r="43"/>
    <row r="44" ht="26.25" customHeight="1" s="170">
      <c r="B44" s="171" t="inlineStr">
        <is>
          <t>D) PREDIKCE vs. REALITA – POROVNÁNÍ S DODAVATELEM</t>
        </is>
      </c>
      <c r="C44" s="173" t="n"/>
      <c r="D44" s="173" t="n"/>
      <c r="E44" s="173" t="n"/>
      <c r="F44" s="173" t="n"/>
      <c r="G44" s="173" t="n"/>
      <c r="H44" s="173" t="n"/>
      <c r="I44" s="173" t="n"/>
      <c r="J44" s="173" t="n"/>
      <c r="K44" s="173" t="n"/>
      <c r="L44" s="173" t="n"/>
      <c r="M44" s="173" t="n"/>
      <c r="N44" s="173" t="n"/>
      <c r="O44" s="173" t="n"/>
      <c r="P44" s="173" t="n"/>
    </row>
    <row r="45" ht="23.25" customHeight="1" s="170">
      <c r="B45" s="7" t="inlineStr">
        <is>
          <t>Produkt</t>
        </is>
      </c>
      <c r="C45" s="7" t="inlineStr">
        <is>
          <t>Jednotka</t>
        </is>
      </c>
      <c r="D45" s="7" t="inlineStr">
        <is>
          <t>Aktuální
cena</t>
        </is>
      </c>
      <c r="E45" s="7" t="inlineStr">
        <is>
          <t>Predikce
MÍRNÝ</t>
        </is>
      </c>
      <c r="F45" s="7" t="inlineStr">
        <is>
          <t>Predikce
STŘEDNÍ</t>
        </is>
      </c>
      <c r="G45" s="7" t="inlineStr">
        <is>
          <t>Predikce
KRIZOVÝ</t>
        </is>
      </c>
      <c r="H45" s="7" t="inlineStr">
        <is>
          <t>Reálná nová
cena (EUR)</t>
        </is>
      </c>
      <c r="I45" s="7" t="inlineStr">
        <is>
          <t>Reálné
zdražení (%)</t>
        </is>
      </c>
      <c r="J45" s="7" t="inlineStr">
        <is>
          <t>Reálný vs.
Mírný</t>
        </is>
      </c>
      <c r="K45" s="7" t="inlineStr">
        <is>
          <t>Reálný vs.
Střední</t>
        </is>
      </c>
      <c r="L45" s="7" t="inlineStr">
        <is>
          <t>Reálný vs.
Krizový</t>
        </is>
      </c>
      <c r="M45" s="7" t="inlineStr">
        <is>
          <t>Měs. objem</t>
        </is>
      </c>
      <c r="N45" s="7" t="inlineStr">
        <is>
          <t>Reálný dopad
měsíční (EUR)</t>
        </is>
      </c>
      <c r="O45" s="7" t="inlineStr">
        <is>
          <t>Reálný dopad
6M (EUR)</t>
        </is>
      </c>
      <c r="P45" s="7" t="inlineStr">
        <is>
          <t>Zdražení
od</t>
        </is>
      </c>
    </row>
    <row r="46" ht="15" customHeight="1" s="170">
      <c r="B46" s="163" t="inlineStr">
        <is>
          <t>SG 7021 A – černošedá</t>
        </is>
      </c>
      <c r="C46" s="157" t="inlineStr">
        <is>
          <t>EUR/kg</t>
        </is>
      </c>
      <c r="D46" s="239">
        <f>D16</f>
        <v/>
      </c>
      <c r="E46" s="240">
        <f>E16</f>
        <v/>
      </c>
      <c r="F46" s="244">
        <f>H16</f>
        <v/>
      </c>
      <c r="G46" s="245">
        <f>K16</f>
        <v/>
      </c>
      <c r="H46" s="48" t="inlineStr">
        <is>
          <t>Doplnit</t>
        </is>
      </c>
      <c r="I46" s="49" t="inlineStr">
        <is>
          <t>Čekáme</t>
        </is>
      </c>
      <c r="J46" s="49" t="inlineStr">
        <is>
          <t>–</t>
        </is>
      </c>
      <c r="K46" s="49" t="inlineStr">
        <is>
          <t>–</t>
        </is>
      </c>
      <c r="L46" s="49" t="inlineStr">
        <is>
          <t>–</t>
        </is>
      </c>
      <c r="M46" s="49" t="inlineStr">
        <is>
          <t>–</t>
        </is>
      </c>
      <c r="N46" s="49" t="inlineStr">
        <is>
          <t>–</t>
        </is>
      </c>
      <c r="O46" s="49" t="inlineStr">
        <is>
          <t>–</t>
        </is>
      </c>
      <c r="P46" s="50" t="inlineStr">
        <is>
          <t>Čekáme</t>
        </is>
      </c>
    </row>
    <row r="47" ht="15" customHeight="1" s="170">
      <c r="B47" s="163" t="inlineStr">
        <is>
          <t>SG 7016 A – šedá antracit</t>
        </is>
      </c>
      <c r="C47" s="157" t="inlineStr">
        <is>
          <t>EUR/kg</t>
        </is>
      </c>
      <c r="D47" s="239">
        <f>D17</f>
        <v/>
      </c>
      <c r="E47" s="240">
        <f>E17</f>
        <v/>
      </c>
      <c r="F47" s="244">
        <f>H17</f>
        <v/>
      </c>
      <c r="G47" s="245">
        <f>K17</f>
        <v/>
      </c>
      <c r="H47" s="48" t="inlineStr">
        <is>
          <t>Doplnit</t>
        </is>
      </c>
      <c r="I47" s="49" t="inlineStr">
        <is>
          <t>Čekáme</t>
        </is>
      </c>
      <c r="J47" s="49" t="inlineStr">
        <is>
          <t>–</t>
        </is>
      </c>
      <c r="K47" s="49" t="inlineStr">
        <is>
          <t>–</t>
        </is>
      </c>
      <c r="L47" s="49" t="inlineStr">
        <is>
          <t>–</t>
        </is>
      </c>
      <c r="M47" s="49" t="inlineStr">
        <is>
          <t>–</t>
        </is>
      </c>
      <c r="N47" s="49" t="inlineStr">
        <is>
          <t>–</t>
        </is>
      </c>
      <c r="O47" s="49" t="inlineStr">
        <is>
          <t>–</t>
        </is>
      </c>
      <c r="P47" s="50" t="inlineStr">
        <is>
          <t>Čekáme</t>
        </is>
      </c>
    </row>
    <row r="48"/>
    <row r="49" ht="15" customHeight="1" s="170">
      <c r="B49" s="165" t="inlineStr">
        <is>
          <t>Status:</t>
        </is>
      </c>
      <c r="C49" s="162" t="inlineStr">
        <is>
          <t>⏳ Čekáme na vyjádření CoatingsSupplier. Nízká priorita – podíl na celkových nákladech &lt;2 %.</t>
        </is>
      </c>
    </row>
  </sheetData>
  <mergeCells count="3">
    <mergeCell ref="B12:J12"/>
    <mergeCell ref="B11:J11"/>
    <mergeCell ref="C49:L49"/>
  </mergeCells>
  <pageMargins left="0.75" right="0.75" top="1" bottom="1" header="0.511811023622047" footer="0.511811023622047"/>
  <pageSetup orientation="portrait" paperSize="9" horizontalDpi="300" verticalDpi="300"/>
  <legacyDrawing xmlns:r="http://schemas.openxmlformats.org/officeDocument/2006/relationships" r:id="anysvml"/>
</worksheet>
</file>

<file path=xl/worksheets/sheet15.xml><?xml version="1.0" encoding="utf-8"?>
<worksheet xmlns="http://schemas.openxmlformats.org/spreadsheetml/2006/main">
  <sheetPr>
    <tabColor rgb="FF2E7D32"/>
    <outlinePr summaryBelow="1" summaryRight="1"/>
    <pageSetUpPr/>
  </sheetPr>
  <dimension ref="A1:N29"/>
  <sheetViews>
    <sheetView topLeftCell="A8" zoomScaleNormal="100" workbookViewId="0">
      <selection activeCell="T9" sqref="T9"/>
    </sheetView>
  </sheetViews>
  <sheetFormatPr baseColWidth="8" defaultColWidth="8.7109375" defaultRowHeight="15"/>
  <cols>
    <col width="3" customWidth="1" style="170" min="1" max="1"/>
    <col width="24" customWidth="1" style="170" min="2" max="2"/>
    <col width="16" customWidth="1" style="170" min="3" max="3"/>
    <col width="14" customWidth="1" style="170" min="4" max="4"/>
    <col width="15.28515625" customWidth="1" style="170" min="5" max="5"/>
    <col width="14" customWidth="1" style="170" min="6" max="6"/>
    <col hidden="1" width="30" customWidth="1" style="170" min="7" max="7"/>
    <col hidden="1" width="24" customWidth="1" style="170" min="8" max="8"/>
    <col hidden="1" width="30" customWidth="1" style="170" min="9" max="9"/>
    <col hidden="1" width="16" customWidth="1" style="170" min="10" max="10"/>
    <col width="16" customWidth="1" style="170" min="11" max="11"/>
    <col width="18" customWidth="1" style="170" min="12" max="12"/>
    <col width="14" customWidth="1" style="170" min="13" max="14"/>
  </cols>
  <sheetData>
    <row r="1"/>
    <row r="2" ht="72" customHeight="1" s="170">
      <c r="B2" s="2" t="inlineStr">
        <is>
          <t>AKČNÍ PLÁN – REAKCE NA ENERGETICKOU KRIZI</t>
        </is>
      </c>
    </row>
    <row r="3" ht="48" customHeight="1" s="170">
      <c r="B3" s="162" t="inlineStr">
        <is>
          <t>Doporučené kroky pro každý materiál / dodavatele | Prioritizace dle rizika a finančního dopadu</t>
        </is>
      </c>
    </row>
    <row r="4"/>
    <row r="5" ht="15" customHeight="1" s="170">
      <c r="B5" s="171" t="inlineStr">
        <is>
          <t>PŘEHLED AKCÍ</t>
        </is>
      </c>
      <c r="C5" s="173" t="n"/>
      <c r="D5" s="173" t="n"/>
      <c r="E5" s="173" t="n"/>
      <c r="F5" s="173" t="n"/>
      <c r="G5" s="173" t="n"/>
      <c r="H5" s="173" t="n"/>
      <c r="I5" s="173" t="n"/>
      <c r="J5" s="173" t="n"/>
      <c r="K5" s="173" t="n"/>
      <c r="L5" s="173" t="n"/>
      <c r="M5" s="173" t="n"/>
      <c r="N5" s="173" t="n"/>
    </row>
    <row r="6" ht="25.5" customHeight="1" s="170">
      <c r="B6" s="7" t="inlineStr">
        <is>
          <t>Materiál</t>
        </is>
      </c>
      <c r="C6" s="7" t="inlineStr">
        <is>
          <t>Dodavatel</t>
        </is>
      </c>
      <c r="D6" s="7" t="inlineStr">
        <is>
          <t>Priorita</t>
        </is>
      </c>
      <c r="E6" s="7" t="inlineStr">
        <is>
          <t>Riziko
zdražení</t>
        </is>
      </c>
      <c r="F6" s="7" t="inlineStr">
        <is>
          <t>Očekávané
zdražení</t>
        </is>
      </c>
      <c r="G6" s="7" t="inlineStr">
        <is>
          <t>Doporučená akce</t>
        </is>
      </c>
      <c r="H6" s="7" t="inlineStr">
        <is>
          <t>Alternativní
dodavatel</t>
        </is>
      </c>
      <c r="I6" s="7" t="inlineStr">
        <is>
          <t>Vyjednávací pozice</t>
        </is>
      </c>
      <c r="J6" s="7" t="inlineStr">
        <is>
          <t>Termín akce</t>
        </is>
      </c>
      <c r="K6" s="155" t="inlineStr">
        <is>
          <t>Reálné
zdražení (%)</t>
        </is>
      </c>
      <c r="L6" s="155" t="inlineStr">
        <is>
          <t>Reálný dopad
6M (EUR)</t>
        </is>
      </c>
      <c r="M6" s="155" t="inlineStr">
        <is>
          <t>Zdražení
od</t>
        </is>
      </c>
      <c r="N6" s="155" t="inlineStr">
        <is>
          <t>Status</t>
        </is>
      </c>
    </row>
    <row r="7" ht="64.5" customHeight="1" s="170">
      <c r="B7" s="122" t="inlineStr">
        <is>
          <t>Butyl GD 115</t>
        </is>
      </c>
      <c r="C7" s="157" t="inlineStr">
        <is>
          <t>SealantSupplier1</t>
        </is>
      </c>
      <c r="D7" s="123" t="inlineStr">
        <is>
          <t>🔴 VYSOKÁ</t>
        </is>
      </c>
      <c r="E7" s="123" t="inlineStr">
        <is>
          <t>Vysoké</t>
        </is>
      </c>
      <c r="F7" s="124" t="inlineStr">
        <is>
          <t>10–15 %</t>
        </is>
      </c>
      <c r="G7" s="125" t="inlineStr">
        <is>
          <t>Vyjednat cenový strop na Q2+Q3.
Prozkoumat alternativní butylové pásky.
Zvážit předzásobení na 2–3 měsíce.</t>
        </is>
      </c>
      <c r="H7" s="125" t="inlineStr">
        <is>
          <t>SealantAlt1 / SealantAlt2</t>
        </is>
      </c>
      <c r="I7" s="125" t="inlineStr">
        <is>
          <t>Střední – standard. produkt, alt. dodavatelé existují, ale schvalování trvá.</t>
        </is>
      </c>
      <c r="J7" s="123" t="inlineStr">
        <is>
          <t>Do 31.3.2026</t>
        </is>
      </c>
      <c r="K7" s="207" t="n">
        <v>0.1</v>
      </c>
      <c r="L7" s="196" t="n">
        <v>2085</v>
      </c>
      <c r="M7" s="47" t="inlineStr">
        <is>
          <t>1.4.2026</t>
        </is>
      </c>
      <c r="N7" s="47" t="inlineStr">
        <is>
          <t>✅ Potvrzeno</t>
        </is>
      </c>
    </row>
    <row r="8" ht="54.75" customHeight="1" s="170">
      <c r="B8" s="122" t="inlineStr">
        <is>
          <t>Tmel GD 116NA
(komp. A+B)</t>
        </is>
      </c>
      <c r="C8" s="157" t="inlineStr">
        <is>
          <t>SealantSupplier1</t>
        </is>
      </c>
      <c r="D8" s="123" t="inlineStr">
        <is>
          <t>🔴 VYSOKÁ</t>
        </is>
      </c>
      <c r="E8" s="123" t="inlineStr">
        <is>
          <t>Vysoké</t>
        </is>
      </c>
      <c r="F8" s="124" t="inlineStr">
        <is>
          <t>10–15 %</t>
        </is>
      </c>
      <c r="G8" s="125" t="inlineStr">
        <is>
          <t>Vyjednat společně s Butylem GD 115.
Stejný dodavatel = společná vyjednávací pozice.
Zvážit předzásobení za aktuální ceny.</t>
        </is>
      </c>
      <c r="H8" s="125" t="inlineStr">
        <is>
          <t>Sealant130 (polysulfid)
SiliconeAlt</t>
        </is>
      </c>
      <c r="I8" s="125" t="inlineStr">
        <is>
          <t>SILNÁ – vyjednáváme s SealantSupplier1 i Butyl, objem dává páku. Lze podmínit fixaci obou produktů.</t>
        </is>
      </c>
      <c r="J8" s="123" t="inlineStr">
        <is>
          <t>Do 31.3.2026</t>
        </is>
      </c>
      <c r="K8" s="207" t="n">
        <v>0.1</v>
      </c>
      <c r="L8" s="196" t="n">
        <v>3237</v>
      </c>
      <c r="M8" s="47" t="inlineStr">
        <is>
          <t>1.4.2026</t>
        </is>
      </c>
      <c r="N8" s="47" t="inlineStr">
        <is>
          <t>✅ Potvrzeno</t>
        </is>
      </c>
    </row>
    <row r="9" ht="64.5" customHeight="1" s="170">
      <c r="B9" s="122" t="inlineStr">
        <is>
          <t>SiliconeSealant25 A+B</t>
        </is>
      </c>
      <c r="C9" s="157" t="inlineStr">
        <is>
          <t>SiliconeSupplier</t>
        </is>
      </c>
      <c r="D9" s="123" t="inlineStr">
        <is>
          <t>🔴 VYSOKÁ</t>
        </is>
      </c>
      <c r="E9" s="123" t="inlineStr">
        <is>
          <t>Střední–Vysoké</t>
        </is>
      </c>
      <c r="F9" s="124" t="inlineStr">
        <is>
          <t>8–13 %</t>
        </is>
      </c>
      <c r="G9" s="125" t="inlineStr">
        <is>
          <t>Vyjednat fixaci cen min. na 6 měsíců.
Aktivovat SiliconeAlt3363 jako alternativu.
Porovnat mix pricing obou dodavatelů.</t>
        </is>
      </c>
      <c r="H9" s="125" t="inlineStr">
        <is>
          <t>SiliconeAlt (Dow) 3363
→ kalkulátor již existuje</t>
        </is>
      </c>
      <c r="I9" s="125" t="inlineStr">
        <is>
          <t>SILNÁ – máme připravený SiliconeAlt jako alt., SiliconeSupplier ví o konkurenčním tlaku.</t>
        </is>
      </c>
      <c r="J9" s="123" t="inlineStr">
        <is>
          <t>Do 31.3.2026</t>
        </is>
      </c>
      <c r="K9" s="48" t="inlineStr">
        <is>
          <t>Doplnit</t>
        </is>
      </c>
      <c r="L9" s="49" t="inlineStr">
        <is>
          <t>–</t>
        </is>
      </c>
      <c r="M9" s="50" t="inlineStr">
        <is>
          <t>Čekáme</t>
        </is>
      </c>
      <c r="N9" s="49" t="inlineStr">
        <is>
          <t>⏳ Čekáme</t>
        </is>
      </c>
    </row>
    <row r="10" ht="64.5" customHeight="1" s="170">
      <c r="B10" s="122" t="inlineStr">
        <is>
          <t>SupplierA FloatBrandClear +
CoatedBrandPremiumN 4mm</t>
        </is>
      </c>
      <c r="C10" s="157" t="inlineStr">
        <is>
          <t>SupplierA
(Demo Industrial)</t>
        </is>
      </c>
      <c r="D10" s="123" t="inlineStr">
        <is>
          <t>🔴 VYSOKÁ</t>
        </is>
      </c>
      <c r="E10" s="123" t="inlineStr">
        <is>
          <t>Velmi vysoké</t>
        </is>
      </c>
      <c r="F10" s="124" t="inlineStr">
        <is>
          <t>15–25 %</t>
        </is>
      </c>
      <c r="G10" s="125" t="inlineStr">
        <is>
          <t>Doplnit ceny do modelu IHNED.
Projednat absorpci části nákladů v rámci SG Group.
Aktivovat SupplierC jako alt. dodavatele.</t>
        </is>
      </c>
      <c r="H10" s="125" t="inlineStr">
        <is>
          <t>SupplierC
→ analýza hotová (22 produktů)</t>
        </is>
      </c>
      <c r="I10" s="125" t="inlineStr">
        <is>
          <t>SILNÁ – interní dodavatel + SupplierC ready jako alt. Nejsilnější pozice.</t>
        </is>
      </c>
      <c r="J10" s="123" t="inlineStr">
        <is>
          <t>IHNED</t>
        </is>
      </c>
      <c r="K10" s="48" t="inlineStr">
        <is>
          <t>Doplnit</t>
        </is>
      </c>
      <c r="L10" s="49" t="inlineStr">
        <is>
          <t>–</t>
        </is>
      </c>
      <c r="M10" s="50" t="inlineStr">
        <is>
          <t>Čekáme</t>
        </is>
      </c>
      <c r="N10" s="49" t="inlineStr">
        <is>
          <t>⏳ Čekáme</t>
        </is>
      </c>
    </row>
    <row r="11" ht="64.5" customHeight="1" s="170">
      <c r="B11" s="126" t="inlineStr">
        <is>
          <t>Sealant130AB (polyuretan)</t>
        </is>
      </c>
      <c r="C11" s="157" t="inlineStr">
        <is>
          <t>SealantSupplier2</t>
        </is>
      </c>
      <c r="D11" s="127" t="inlineStr">
        <is>
          <t>🟡 STŘEDNÍ</t>
        </is>
      </c>
      <c r="E11" s="127" t="inlineStr">
        <is>
          <t>Střední</t>
        </is>
      </c>
      <c r="F11" s="128" t="inlineStr">
        <is>
          <t>8–15 %</t>
        </is>
      </c>
      <c r="G11" s="125" t="inlineStr">
        <is>
          <t>Projednat cenový výhled na Q2.
Porovnat s alternativními polysulfidy.
Požádat o transparentní rozklad nákladů.</t>
        </is>
      </c>
      <c r="H11" s="125" t="inlineStr">
        <is>
          <t>Polysulfid od Chemetall / PPG</t>
        </is>
      </c>
      <c r="I11" s="125" t="inlineStr">
        <is>
          <t>Nízká – specializovaný produkt, omezené alternativy v krátkém čase.</t>
        </is>
      </c>
      <c r="J11" s="127" t="inlineStr">
        <is>
          <t>Do 15.4.2026</t>
        </is>
      </c>
      <c r="K11" s="48" t="inlineStr">
        <is>
          <t>Doplnit</t>
        </is>
      </c>
      <c r="L11" s="49" t="inlineStr">
        <is>
          <t>–</t>
        </is>
      </c>
      <c r="M11" s="50" t="inlineStr">
        <is>
          <t>Čekáme</t>
        </is>
      </c>
      <c r="N11" s="49" t="inlineStr">
        <is>
          <t>⏳ Čekáme</t>
        </is>
      </c>
    </row>
    <row r="12" ht="64.5" customHeight="1" s="170">
      <c r="B12" s="129" t="inlineStr">
        <is>
          <t>SieveBrand 555+551</t>
        </is>
      </c>
      <c r="C12" s="157" t="inlineStr">
        <is>
          <t>SieveSupplier</t>
        </is>
      </c>
      <c r="D12" s="130" t="inlineStr">
        <is>
          <t>🟡 STŘEDNÍ</t>
        </is>
      </c>
      <c r="E12" s="130" t="inlineStr">
        <is>
          <t>Vysoké</t>
        </is>
      </c>
      <c r="F12" s="131" t="inlineStr">
        <is>
          <t>12–17 %</t>
        </is>
      </c>
      <c r="G12" s="125" t="inlineStr">
        <is>
          <t>Prověřit alternativní zeolity.
Zvážit nákup většího balení.
Vyjednat cenovou stabilitu výměnou za objem.</t>
        </is>
      </c>
      <c r="H12" s="125" t="inlineStr">
        <is>
          <t>SieveAlt1 / SieveAlt2
(nutné testování)</t>
        </is>
      </c>
      <c r="I12" s="125" t="inlineStr">
        <is>
          <t>Nízká – specializovaný produkt, přechod vyžaduje testy a schválení.</t>
        </is>
      </c>
      <c r="J12" s="130" t="inlineStr">
        <is>
          <t>Do 30.4.2026</t>
        </is>
      </c>
      <c r="K12" s="48" t="inlineStr">
        <is>
          <t>Doplnit</t>
        </is>
      </c>
      <c r="L12" s="49" t="inlineStr">
        <is>
          <t>–</t>
        </is>
      </c>
      <c r="M12" s="50" t="inlineStr">
        <is>
          <t>Čekáme</t>
        </is>
      </c>
      <c r="N12" s="49" t="inlineStr">
        <is>
          <t>⏳ Čekáme</t>
        </is>
      </c>
    </row>
    <row r="13" ht="64.5" customHeight="1" s="170">
      <c r="B13" s="126" t="inlineStr">
        <is>
          <t>SpacerSupplier 14+16+18mm</t>
        </is>
      </c>
      <c r="C13" s="157" t="inlineStr">
        <is>
          <t>SpacerSupplier</t>
        </is>
      </c>
      <c r="D13" s="127" t="inlineStr">
        <is>
          <t>🟡 STŘEDNÍ</t>
        </is>
      </c>
      <c r="E13" s="127" t="inlineStr">
        <is>
          <t>Střední</t>
        </is>
      </c>
      <c r="F13" s="128" t="inlineStr">
        <is>
          <t>8–12 %</t>
        </is>
      </c>
      <c r="G13" s="125" t="inlineStr">
        <is>
          <t>Doplnit aktuální ceny do modelu.
Projednat fixaci cen s ohledem na objem.
Zvážit alternativní rámečky.</t>
        </is>
      </c>
      <c r="H13" s="125" t="inlineStr">
        <is>
          <t>SpacerAlt2 / SpacerAltUltra
(nutná validace)</t>
        </is>
      </c>
      <c r="I13" s="125" t="inlineStr">
        <is>
          <t>Střední – existují alternativy, ale přechod vyžaduje schválení systémů.</t>
        </is>
      </c>
      <c r="J13" s="127" t="inlineStr">
        <is>
          <t>Do 15.4.2026</t>
        </is>
      </c>
      <c r="K13" s="48" t="inlineStr">
        <is>
          <t>Doplnit</t>
        </is>
      </c>
      <c r="L13" s="49" t="inlineStr">
        <is>
          <t>–</t>
        </is>
      </c>
      <c r="M13" s="50" t="inlineStr">
        <is>
          <t>Čekáme</t>
        </is>
      </c>
      <c r="N13" s="49" t="inlineStr">
        <is>
          <t>⏳ Čekáme</t>
        </is>
      </c>
    </row>
    <row r="14" ht="54.75" customHeight="1" s="170">
      <c r="B14" s="129" t="inlineStr">
        <is>
          <t>PVB Fólie
(PVBSupplier + PVBSupplierAlt)</t>
        </is>
      </c>
      <c r="C14" s="157" t="inlineStr">
        <is>
          <t>PVBSupplier / PVBSupplierAlt</t>
        </is>
      </c>
      <c r="D14" s="130" t="inlineStr">
        <is>
          <t>🟡 STŘEDNÍ</t>
        </is>
      </c>
      <c r="E14" s="130" t="inlineStr">
        <is>
          <t>Střední–Vysoké</t>
        </is>
      </c>
      <c r="F14" s="131" t="inlineStr">
        <is>
          <t>10–15 %</t>
        </is>
      </c>
      <c r="G14" s="125" t="inlineStr">
        <is>
          <t>Porovnat cenové nabídky PVBSupplier vs. PVBSupplierAlt.
Vyjednat objemové slevy za fixaci na 6M.
Zvážit přechod na tenčí fólii kde je to možné.</t>
        </is>
      </c>
      <c r="H14" s="125" t="inlineStr">
        <is>
          <t>PVBAltSLec
(nutné schválení)</t>
        </is>
      </c>
      <c r="I14" s="125" t="inlineStr">
        <is>
          <t>STŘEDNÍ – 2 dodavatelé = vyjednávací prostor. PVBSupplier a PVBSupplierAlt si konkurují.</t>
        </is>
      </c>
      <c r="J14" s="130" t="inlineStr">
        <is>
          <t>Do 15.4.2026</t>
        </is>
      </c>
      <c r="K14" s="48" t="inlineStr">
        <is>
          <t>Doplnit</t>
        </is>
      </c>
      <c r="L14" s="49" t="inlineStr">
        <is>
          <t>–</t>
        </is>
      </c>
      <c r="M14" s="50" t="inlineStr">
        <is>
          <t>Čekáme</t>
        </is>
      </c>
      <c r="N14" s="49" t="inlineStr">
        <is>
          <t>⏳ Čekáme</t>
        </is>
      </c>
    </row>
    <row r="15" hidden="1" ht="15" customHeight="1" s="170">
      <c r="B15" s="132" t="inlineStr">
        <is>
          <t>Barvy na sklo
(SG 7021, SG 7016)</t>
        </is>
      </c>
      <c r="C15" s="157" t="inlineStr">
        <is>
          <t>CoatingsSupplier</t>
        </is>
      </c>
      <c r="D15" s="133" t="inlineStr">
        <is>
          <t>🟢 NÍZKÁ</t>
        </is>
      </c>
      <c r="E15" s="133" t="inlineStr">
        <is>
          <t>Střední</t>
        </is>
      </c>
      <c r="F15" s="134" t="inlineStr">
        <is>
          <t>10–18 %</t>
        </is>
      </c>
      <c r="G15" s="125" t="inlineStr">
        <is>
          <t>Monitorovat ceník CoatingsSupplier.
Podíl na celk. nákladech &lt;2 % → nízká priorita.
Zvážit nákup většího balení za lepší cenu.</t>
        </is>
      </c>
      <c r="H15" s="125" t="inlineStr">
        <is>
          <t>Přímý nákup od výrobce
(CoatingsAlt, Johnson Matthey)</t>
        </is>
      </c>
      <c r="I15" s="125" t="inlineStr">
        <is>
          <t>Nízká – malý objem, specializovaný produkt. CoatingsSupplier je klíčový distributor v CZ/SK.</t>
        </is>
      </c>
      <c r="J15" s="133" t="inlineStr">
        <is>
          <t>Průběžně</t>
        </is>
      </c>
      <c r="K15" s="48" t="inlineStr">
        <is>
          <t>Doplnit</t>
        </is>
      </c>
      <c r="L15" s="49" t="inlineStr">
        <is>
          <t>–</t>
        </is>
      </c>
      <c r="M15" s="50" t="inlineStr">
        <is>
          <t>Čekáme</t>
        </is>
      </c>
      <c r="N15" s="49" t="inlineStr">
        <is>
          <t>⏳ Čekáme</t>
        </is>
      </c>
    </row>
    <row r="16" hidden="1" ht="54.75" customHeight="1" s="170"/>
    <row r="17" hidden="1" ht="54.75" customHeight="1" s="170"/>
    <row r="18" hidden="1" ht="54.75" customHeight="1" s="170">
      <c r="B18" s="171" t="inlineStr">
        <is>
          <t>TIMELINE JEDNÁNÍ</t>
        </is>
      </c>
      <c r="C18" s="173" t="n"/>
      <c r="D18" s="173" t="n"/>
      <c r="E18" s="173" t="n"/>
      <c r="F18" s="173" t="n"/>
      <c r="G18" s="173" t="n"/>
      <c r="H18" s="173" t="n"/>
      <c r="I18" s="173" t="n"/>
      <c r="J18" s="173" t="n"/>
    </row>
    <row r="19" hidden="1" ht="54.75" customHeight="1" s="170">
      <c r="B19" s="123" t="inlineStr">
        <is>
          <t>19.–31.3.2026</t>
        </is>
      </c>
      <c r="C19" s="135" t="inlineStr">
        <is>
          <t>TÝDEN 1–2</t>
        </is>
      </c>
      <c r="D19" s="174" t="inlineStr">
        <is>
          <t>SiliconeSupplier (SiliconeSuppliersil) – vyjednání fixace + aktivace SiliconeAlt.
SupplierA – doplnění cen, eskalace na úroveň Group.
SealantSupplier1 (Butyl) – vyjednání cenového stropu.</t>
        </is>
      </c>
      <c r="E19" s="138" t="n"/>
      <c r="F19" s="138" t="n"/>
      <c r="G19" s="138" t="n"/>
      <c r="H19" s="138" t="n"/>
      <c r="I19" s="138" t="n"/>
      <c r="J19" s="138" t="n"/>
    </row>
    <row r="20" hidden="1" ht="102" customHeight="1" s="170">
      <c r="B20" s="130" t="inlineStr">
        <is>
          <t>1.–15.4.2026</t>
        </is>
      </c>
      <c r="C20" s="137" t="inlineStr">
        <is>
          <t>TÝDEN 3–4</t>
        </is>
      </c>
      <c r="D20" s="174" t="inlineStr">
        <is>
          <t>SealantSupplier2 – projednání cenového výhledu.
SpacerSupplier – doplnění cen, vyjednání objemových slev.
SieveSupplier – prověření alternativních zeolitů.</t>
        </is>
      </c>
      <c r="E20" s="138" t="n"/>
      <c r="F20" s="138" t="n"/>
      <c r="G20" s="138" t="n"/>
      <c r="H20" s="138" t="n"/>
      <c r="I20" s="138" t="n"/>
      <c r="J20" s="138" t="n"/>
    </row>
    <row r="21" hidden="1" ht="15" customHeight="1" s="170">
      <c r="B21" s="127" t="inlineStr">
        <is>
          <t>15.–30.4.2026</t>
        </is>
      </c>
      <c r="C21" s="139" t="inlineStr">
        <is>
          <t>TÝDEN 5–6</t>
        </is>
      </c>
      <c r="D21" s="174" t="inlineStr">
        <is>
          <t>Vyhodnocení prvních reakcí dodavatelů.
Aktualizace modelu s reálnými nabídkami.
Prezentace výsledků vedení.</t>
        </is>
      </c>
      <c r="E21" s="138" t="n"/>
      <c r="F21" s="138" t="n"/>
      <c r="G21" s="138" t="n"/>
      <c r="H21" s="138" t="n"/>
      <c r="I21" s="138" t="n"/>
      <c r="J21" s="138" t="n"/>
    </row>
    <row r="22" hidden="1" ht="30" customHeight="1" s="170">
      <c r="B22" s="12" t="inlineStr">
        <is>
          <t>Květen–Červen</t>
        </is>
      </c>
      <c r="C22" s="140" t="inlineStr">
        <is>
          <t>PRŮBĚŽNĚ</t>
        </is>
      </c>
      <c r="D22" s="174" t="inlineStr">
        <is>
          <t>Monitoring tržních cen ropy a plynu.
Přehodnocení scénářů dle vývoje konfliktu.
Implementace dohodnutých opatření.</t>
        </is>
      </c>
      <c r="E22" s="138" t="n"/>
      <c r="F22" s="138" t="n"/>
      <c r="G22" s="138" t="n"/>
      <c r="H22" s="138" t="n"/>
      <c r="I22" s="138" t="n"/>
      <c r="J22" s="138" t="n"/>
    </row>
    <row r="23" hidden="1" ht="27.75" customHeight="1" s="170"/>
    <row r="24" hidden="1" ht="27.75" customHeight="1" s="170"/>
    <row r="25" hidden="1" ht="27.75" customHeight="1" s="170">
      <c r="B25" s="171" t="inlineStr">
        <is>
          <t>QUICK WINS – OKAMŽITÉ ÚSPORY</t>
        </is>
      </c>
      <c r="C25" s="173" t="n"/>
      <c r="D25" s="173" t="n"/>
      <c r="E25" s="173" t="n"/>
      <c r="F25" s="173" t="n"/>
      <c r="G25" s="173" t="n"/>
      <c r="H25" s="173" t="n"/>
      <c r="I25" s="173" t="n"/>
      <c r="J25" s="173" t="n"/>
    </row>
    <row r="26" hidden="1" ht="27.75" customHeight="1" s="170">
      <c r="B26" s="172" t="inlineStr">
        <is>
          <t>1. SiliconeSupplier vs. SiliconeAlt → Máš hotový kalkulátor na mix pricing. Okamžitě aktivuj a použij jako vyjednávací páku.</t>
        </is>
      </c>
      <c r="C26" s="138" t="n"/>
      <c r="D26" s="138" t="n"/>
      <c r="E26" s="138" t="n"/>
      <c r="F26" s="138" t="n"/>
      <c r="G26" s="138" t="n"/>
      <c r="H26" s="138" t="n"/>
      <c r="I26" s="138" t="n"/>
      <c r="J26" s="142" t="n"/>
    </row>
    <row r="27" hidden="1" ht="57" customHeight="1" s="170">
      <c r="B27" s="172" t="inlineStr">
        <is>
          <t>2. SupplierA vs. SupplierC → Analýza 22 produktů je hotová. Přepni část objemu na SupplierC u pozic kde to dává smysl.</t>
        </is>
      </c>
      <c r="C27" s="138" t="n"/>
      <c r="D27" s="138" t="n"/>
      <c r="E27" s="138" t="n"/>
      <c r="F27" s="138" t="n"/>
      <c r="G27" s="138" t="n"/>
      <c r="H27" s="138" t="n"/>
      <c r="I27" s="138" t="n"/>
      <c r="J27" s="142" t="n"/>
    </row>
    <row r="28" hidden="1" ht="57" customHeight="1" s="170">
      <c r="B28" s="172" t="inlineStr">
        <is>
          <t>3. Předzásobení Butyl → Pokud má SealantSupplier1 skladem, objednej 2–3 měsíční zásobu za aktuální ceny.</t>
        </is>
      </c>
      <c r="C28" s="138" t="n"/>
      <c r="D28" s="138" t="n"/>
      <c r="E28" s="138" t="n"/>
      <c r="F28" s="138" t="n"/>
      <c r="G28" s="138" t="n"/>
      <c r="H28" s="138" t="n"/>
      <c r="I28" s="138" t="n"/>
      <c r="J28" s="142" t="n"/>
    </row>
    <row r="29" hidden="1" ht="57" customHeight="1" s="170">
      <c r="B29" s="172" t="inlineStr">
        <is>
          <t>4. Objem za fixaci → U všech dodavatelů nabídni navýšení objemu výměnou za cenovou stabilitu na 6 měsíců.</t>
        </is>
      </c>
      <c r="C29" s="138" t="n"/>
      <c r="D29" s="138" t="n"/>
      <c r="E29" s="138" t="n"/>
      <c r="F29" s="138" t="n"/>
      <c r="G29" s="138" t="n"/>
      <c r="H29" s="138" t="n"/>
      <c r="I29" s="138" t="n"/>
      <c r="J29" s="142" t="n"/>
    </row>
  </sheetData>
  <autoFilter ref="B6:J12"/>
  <mergeCells count="8">
    <mergeCell ref="B25:J25"/>
    <mergeCell ref="D18:J18"/>
    <mergeCell ref="D17:J17"/>
    <mergeCell ref="B26:J26"/>
    <mergeCell ref="D16:J16"/>
    <mergeCell ref="B23:J23"/>
    <mergeCell ref="D19:J19"/>
    <mergeCell ref="B24:J24"/>
  </mergeCells>
  <pageMargins left="0.75" right="0.75" top="1" bottom="1" header="0.511811023622047" footer="0.511811023622047"/>
  <pageSetup orientation="portrait" paperSize="9" horizontalDpi="300" verticalDpi="300"/>
</worksheet>
</file>

<file path=xl/worksheets/sheet16.xml><?xml version="1.0" encoding="utf-8"?>
<worksheet xmlns="http://schemas.openxmlformats.org/spreadsheetml/2006/main">
  <sheetPr>
    <tabColor rgb="FF00695C"/>
    <outlinePr summaryBelow="1" summaryRight="1"/>
    <pageSetUpPr fitToPage="1"/>
  </sheetPr>
  <dimension ref="A1:L26"/>
  <sheetViews>
    <sheetView zoomScaleNormal="100" workbookViewId="0">
      <selection activeCell="C7" sqref="C7"/>
    </sheetView>
  </sheetViews>
  <sheetFormatPr baseColWidth="8" defaultColWidth="8.7109375" defaultRowHeight="15"/>
  <cols>
    <col width="3" customWidth="1" style="170" min="1" max="1"/>
    <col width="30" customWidth="1" style="170" min="2" max="2"/>
    <col width="18" customWidth="1" style="170" min="3" max="3"/>
    <col width="14" customWidth="1" style="170" min="4" max="5"/>
    <col width="16" customWidth="1" style="170" min="6" max="8"/>
    <col width="14" customWidth="1" style="170" min="9" max="11"/>
    <col width="30" customWidth="1" style="170" min="12" max="12"/>
  </cols>
  <sheetData>
    <row r="1"/>
    <row r="2" ht="54" customHeight="1" s="170">
      <c r="B2" s="2" t="inlineStr">
        <is>
          <t>STRATEGICKÉ PŘEDOBJEDNÁVKY – PŘEDZÁSOBENÍ</t>
        </is>
      </c>
    </row>
    <row r="3" ht="60" customHeight="1" s="170">
      <c r="B3" s="32" t="inlineStr">
        <is>
          <t>Evidence materiálů objednaných za aktuální ceny před zdražením dodavatelů</t>
        </is>
      </c>
    </row>
    <row r="4"/>
    <row r="5" ht="30" customHeight="1" s="170">
      <c r="B5" s="171" t="inlineStr">
        <is>
          <t>PŘEHLED PŘEDOBJEDNÁVEK</t>
        </is>
      </c>
      <c r="C5" s="173" t="n"/>
      <c r="D5" s="173" t="n"/>
      <c r="E5" s="173" t="n"/>
      <c r="F5" s="173" t="n"/>
      <c r="G5" s="173" t="n"/>
      <c r="H5" s="173" t="n"/>
      <c r="I5" s="173" t="n"/>
      <c r="J5" s="173" t="n"/>
      <c r="K5" s="173" t="n"/>
      <c r="L5" s="173" t="n"/>
    </row>
    <row r="6" ht="38.25" customHeight="1" s="170">
      <c r="B6" s="143" t="inlineStr">
        <is>
          <t>Materiál / Produkt</t>
        </is>
      </c>
      <c r="C6" s="143" t="inlineStr">
        <is>
          <t>Dodavatel</t>
        </is>
      </c>
      <c r="D6" s="143" t="inlineStr">
        <is>
          <t>Jednotka</t>
        </is>
      </c>
      <c r="E6" s="143" t="inlineStr">
        <is>
          <t>Jedn. cena
(EUR)</t>
        </is>
      </c>
      <c r="F6" s="143" t="inlineStr">
        <is>
          <t>Objednané
množství</t>
        </is>
      </c>
      <c r="G6" s="143" t="inlineStr">
        <is>
          <t>Celková cena
objednávky (EUR)</t>
        </is>
      </c>
      <c r="H6" s="143" t="inlineStr">
        <is>
          <t>Průměrná měs.
spotřeba</t>
        </is>
      </c>
      <c r="I6" s="143" t="inlineStr">
        <is>
          <t>Vystačí na
(měsíců)</t>
        </is>
      </c>
      <c r="J6" s="143" t="inlineStr">
        <is>
          <t>Datum
objednávky</t>
        </is>
      </c>
      <c r="K6" s="143" t="inlineStr">
        <is>
          <t>Stav
objednávky</t>
        </is>
      </c>
      <c r="L6" s="143" t="inlineStr">
        <is>
          <t>Poznámky</t>
        </is>
      </c>
    </row>
    <row r="7" ht="21.75" customHeight="1" s="170">
      <c r="B7" s="163" t="inlineStr">
        <is>
          <t>Butyl GD 115</t>
        </is>
      </c>
      <c r="C7" s="157" t="inlineStr">
        <is>
          <t>SealantSupplier1</t>
        </is>
      </c>
      <c r="D7" s="157" t="inlineStr">
        <is>
          <t>kg</t>
        </is>
      </c>
      <c r="E7" s="194" t="n">
        <v>6.95</v>
      </c>
      <c r="F7" s="144" t="n">
        <v>2937.6</v>
      </c>
      <c r="G7" s="250">
        <f>E7*F7</f>
        <v/>
      </c>
      <c r="H7" s="146" t="n">
        <v>500</v>
      </c>
      <c r="I7" s="147">
        <f>IF(H7=0,"–",F7/H7)</f>
        <v/>
      </c>
      <c r="J7" s="148" t="n">
        <v>46105</v>
      </c>
      <c r="K7" s="149" t="n"/>
      <c r="L7" s="150" t="n"/>
    </row>
    <row r="8" ht="21.75" customHeight="1" s="170">
      <c r="B8" s="163" t="inlineStr">
        <is>
          <t>Sealant130AB (polyuretan)</t>
        </is>
      </c>
      <c r="C8" s="157" t="inlineStr">
        <is>
          <t>SealantSupplier2</t>
        </is>
      </c>
      <c r="D8" s="157" t="inlineStr">
        <is>
          <t>l</t>
        </is>
      </c>
      <c r="E8" s="194" t="n">
        <v>2.66</v>
      </c>
      <c r="F8" s="144" t="n">
        <v>19000</v>
      </c>
      <c r="G8" s="250">
        <f>E8*F8</f>
        <v/>
      </c>
      <c r="H8" s="146" t="n">
        <v>800</v>
      </c>
      <c r="I8" s="147">
        <f>IF(H8=0,"–",F8/H8)</f>
        <v/>
      </c>
      <c r="J8" s="148" t="n">
        <v>46105</v>
      </c>
      <c r="K8" s="149" t="n"/>
      <c r="L8" s="150" t="n"/>
    </row>
    <row r="9" ht="21.75" customHeight="1" s="170">
      <c r="B9" s="163" t="inlineStr">
        <is>
          <t>Tmel GD 116NA komp. A</t>
        </is>
      </c>
      <c r="C9" s="157" t="inlineStr">
        <is>
          <t>SealantSupplier1</t>
        </is>
      </c>
      <c r="D9" s="157" t="inlineStr">
        <is>
          <t>l</t>
        </is>
      </c>
      <c r="E9" s="194" t="n">
        <v>4.32</v>
      </c>
      <c r="F9" s="144" t="n">
        <v>6080</v>
      </c>
      <c r="G9" s="250">
        <f>E9*F9</f>
        <v/>
      </c>
      <c r="H9" s="146" t="n">
        <v>672</v>
      </c>
      <c r="I9" s="147">
        <f>IF(H9=0,"–",F9/H9)</f>
        <v/>
      </c>
      <c r="J9" s="148" t="n">
        <v>46105</v>
      </c>
      <c r="K9" s="149" t="n"/>
      <c r="L9" s="150" t="inlineStr">
        <is>
          <t>Stejný dodavatel jako Butyl</t>
        </is>
      </c>
    </row>
    <row r="10" ht="21.75" customHeight="1" s="170">
      <c r="B10" s="163" t="inlineStr">
        <is>
          <t>Tmel GD 116NA komp. B</t>
        </is>
      </c>
      <c r="C10" s="157" t="inlineStr">
        <is>
          <t>SealantSupplier1</t>
        </is>
      </c>
      <c r="D10" s="157" t="inlineStr">
        <is>
          <t>l</t>
        </is>
      </c>
      <c r="E10" s="194" t="n">
        <v>9.6</v>
      </c>
      <c r="F10" s="144" t="n">
        <v>570</v>
      </c>
      <c r="G10" s="250">
        <f>E10*F10</f>
        <v/>
      </c>
      <c r="H10" s="146" t="n">
        <v>67</v>
      </c>
      <c r="I10" s="147">
        <f>IF(H10=0,"–",F10/H10)</f>
        <v/>
      </c>
      <c r="J10" s="148" t="n">
        <v>46105</v>
      </c>
      <c r="K10" s="149" t="n"/>
      <c r="L10" s="150" t="inlineStr">
        <is>
          <t>Stejný dodavatel jako Butyl</t>
        </is>
      </c>
    </row>
    <row r="11" ht="21.75" customHeight="1" s="170">
      <c r="B11" s="163" t="inlineStr">
        <is>
          <t>SiliconeSealant25 A (260 kg)</t>
        </is>
      </c>
      <c r="C11" s="157" t="inlineStr">
        <is>
          <t>SiliconeSupplier</t>
        </is>
      </c>
      <c r="D11" s="157" t="inlineStr">
        <is>
          <t>kg</t>
        </is>
      </c>
      <c r="E11" s="194" t="n">
        <v>3.82</v>
      </c>
      <c r="F11" s="144" t="n">
        <v>7800</v>
      </c>
      <c r="G11" s="250">
        <f>E11*F11</f>
        <v/>
      </c>
      <c r="H11" s="146" t="n">
        <v>1200</v>
      </c>
      <c r="I11" s="147">
        <f>IF(H11=0,"–",F11/H11)</f>
        <v/>
      </c>
      <c r="J11" s="148" t="n">
        <v>46105</v>
      </c>
      <c r="K11" s="149" t="n"/>
      <c r="L11" s="150" t="n"/>
    </row>
    <row r="12" ht="21.75" customHeight="1" s="170">
      <c r="B12" s="163" t="inlineStr">
        <is>
          <t>SiliconeSealant25 B (20 kg)</t>
        </is>
      </c>
      <c r="C12" s="157" t="inlineStr">
        <is>
          <t>SiliconeSupplier</t>
        </is>
      </c>
      <c r="D12" s="157" t="inlineStr">
        <is>
          <t>kg</t>
        </is>
      </c>
      <c r="E12" s="194" t="n">
        <v>17.5</v>
      </c>
      <c r="F12" s="144" t="n">
        <v>600</v>
      </c>
      <c r="G12" s="250">
        <f>E12*F12</f>
        <v/>
      </c>
      <c r="H12" s="146" t="n">
        <v>100</v>
      </c>
      <c r="I12" s="147">
        <f>IF(H12=0,"–",F12/H12)</f>
        <v/>
      </c>
      <c r="J12" s="148" t="n">
        <v>46105</v>
      </c>
      <c r="K12" s="149" t="n"/>
      <c r="L12" s="150" t="n"/>
    </row>
    <row r="13" ht="21.75" customHeight="1" s="170">
      <c r="B13" s="163" t="inlineStr">
        <is>
          <t>SieveBrandSieveBrand 555</t>
        </is>
      </c>
      <c r="C13" s="157" t="inlineStr">
        <is>
          <t>SieveSupplier</t>
        </is>
      </c>
      <c r="D13" s="157" t="inlineStr">
        <is>
          <t>kg</t>
        </is>
      </c>
      <c r="E13" s="194" t="n">
        <v>2.08</v>
      </c>
      <c r="F13" s="144" t="n">
        <v>10080</v>
      </c>
      <c r="G13" s="250">
        <f>E13*F13</f>
        <v/>
      </c>
      <c r="H13" s="146" t="n">
        <v>300</v>
      </c>
      <c r="I13" s="147">
        <f>IF(H13=0,"–",F13/H13)</f>
        <v/>
      </c>
      <c r="J13" s="148" t="n">
        <v>46105</v>
      </c>
      <c r="K13" s="149" t="n"/>
      <c r="L13" s="150" t="n"/>
    </row>
    <row r="14" ht="21.75" customHeight="1" s="170">
      <c r="B14" s="163" t="inlineStr">
        <is>
          <t>SieveBrandSieveBrand 551</t>
        </is>
      </c>
      <c r="C14" s="157" t="inlineStr">
        <is>
          <t>SieveSupplier</t>
        </is>
      </c>
      <c r="D14" s="157" t="inlineStr">
        <is>
          <t>kg</t>
        </is>
      </c>
      <c r="E14" s="194" t="n">
        <v>2.08</v>
      </c>
      <c r="F14" s="144" t="n">
        <v>1120</v>
      </c>
      <c r="G14" s="250">
        <f>E14*F14</f>
        <v/>
      </c>
      <c r="H14" s="146" t="n">
        <v>200</v>
      </c>
      <c r="I14" s="147">
        <f>IF(H14=0,"–",F14/H14)</f>
        <v/>
      </c>
      <c r="J14" s="148" t="n">
        <v>46105</v>
      </c>
      <c r="K14" s="149" t="n"/>
      <c r="L14" s="150" t="n"/>
    </row>
    <row r="15" ht="21.75" customHeight="1" s="170">
      <c r="B15" s="163" t="inlineStr">
        <is>
          <t>SpacerBrandAdvance 14mm</t>
        </is>
      </c>
      <c r="C15" s="157" t="inlineStr">
        <is>
          <t>SpacerSupplier</t>
        </is>
      </c>
      <c r="D15" s="157" t="inlineStr">
        <is>
          <t>m</t>
        </is>
      </c>
      <c r="E15" s="194" t="n">
        <v>0.37</v>
      </c>
      <c r="F15" s="144" t="n">
        <v>13824</v>
      </c>
      <c r="G15" s="250">
        <f>E15*F15</f>
        <v/>
      </c>
      <c r="H15" s="146" t="n">
        <v>5000</v>
      </c>
      <c r="I15" s="147">
        <f>IF(H15=0,"–",F15/H15)</f>
        <v/>
      </c>
      <c r="J15" s="148" t="n">
        <v>46105</v>
      </c>
      <c r="K15" s="149" t="n"/>
      <c r="L15" s="150" t="n"/>
    </row>
    <row r="16" ht="21.75" customHeight="1" s="170">
      <c r="B16" s="163" t="inlineStr">
        <is>
          <t>SpacerBrandAdvance 16mm</t>
        </is>
      </c>
      <c r="C16" s="157" t="inlineStr">
        <is>
          <t>SpacerSupplier</t>
        </is>
      </c>
      <c r="D16" s="157" t="inlineStr">
        <is>
          <t>m</t>
        </is>
      </c>
      <c r="E16" s="194" t="n">
        <v>0.381</v>
      </c>
      <c r="F16" s="144" t="n">
        <v>41472</v>
      </c>
      <c r="G16" s="250">
        <f>E16*F16</f>
        <v/>
      </c>
      <c r="H16" s="146" t="n">
        <v>3000</v>
      </c>
      <c r="I16" s="147">
        <f>IF(H16=0,"–",F16/H16)</f>
        <v/>
      </c>
      <c r="J16" s="148" t="n">
        <v>46105</v>
      </c>
      <c r="K16" s="149" t="n"/>
      <c r="L16" s="150" t="n"/>
    </row>
    <row r="17" ht="21.75" customHeight="1" s="170">
      <c r="B17" s="163" t="inlineStr">
        <is>
          <t>SpacerBrandAdvance 18mm</t>
        </is>
      </c>
      <c r="C17" s="157" t="inlineStr">
        <is>
          <t>SpacerSupplier</t>
        </is>
      </c>
      <c r="D17" s="157" t="inlineStr">
        <is>
          <t>m</t>
        </is>
      </c>
      <c r="E17" s="194" t="n">
        <v>0.44</v>
      </c>
      <c r="F17" s="144" t="n">
        <v>38124</v>
      </c>
      <c r="G17" s="250">
        <f>E17*F17</f>
        <v/>
      </c>
      <c r="H17" s="146" t="n">
        <v>2000</v>
      </c>
      <c r="I17" s="147">
        <f>IF(H17=0,"–",F17/H17)</f>
        <v/>
      </c>
      <c r="J17" s="148" t="n">
        <v>46105</v>
      </c>
      <c r="K17" s="149" t="n"/>
      <c r="L17" s="150" t="n"/>
    </row>
    <row r="18" ht="21.75" customHeight="1" s="170">
      <c r="B18" s="163" t="inlineStr">
        <is>
          <t>SupplierA FloatBrandClear 4mm</t>
        </is>
      </c>
      <c r="C18" s="157" t="inlineStr">
        <is>
          <t>SupplierA</t>
        </is>
      </c>
      <c r="D18" s="157" t="inlineStr">
        <is>
          <t>m²</t>
        </is>
      </c>
      <c r="E18" s="194" t="n">
        <v>4.68</v>
      </c>
      <c r="F18" s="144" t="n"/>
      <c r="G18" s="250">
        <f>E18*F18</f>
        <v/>
      </c>
      <c r="H18" s="146" t="n">
        <v>10000</v>
      </c>
      <c r="I18" s="147">
        <f>IF(H18=0,"–",F18/H18)</f>
        <v/>
      </c>
      <c r="J18" s="148" t="n"/>
      <c r="K18" s="149" t="n"/>
      <c r="L18" s="150" t="n"/>
    </row>
    <row r="19" ht="21.75" customHeight="1" s="170">
      <c r="B19" s="163" t="inlineStr">
        <is>
          <t>SupplierA CoatedBrandPremiumN 4mm</t>
        </is>
      </c>
      <c r="C19" s="157" t="inlineStr">
        <is>
          <t>SupplierA</t>
        </is>
      </c>
      <c r="D19" s="157" t="inlineStr">
        <is>
          <t>m²</t>
        </is>
      </c>
      <c r="E19" s="194" t="n">
        <v>5.83</v>
      </c>
      <c r="F19" s="144" t="n"/>
      <c r="G19" s="250">
        <f>E19*F19</f>
        <v/>
      </c>
      <c r="H19" s="146" t="n">
        <v>8000</v>
      </c>
      <c r="I19" s="147">
        <f>IF(H19=0,"–",F19/H19)</f>
        <v/>
      </c>
      <c r="J19" s="148" t="n"/>
      <c r="K19" s="149" t="n"/>
      <c r="L19" s="150" t="n"/>
    </row>
    <row r="20" ht="21.75" customHeight="1" s="170">
      <c r="B20" s="163" t="inlineStr">
        <is>
          <t>PVB PVBBrand Clear B200</t>
        </is>
      </c>
      <c r="C20" s="157" t="inlineStr">
        <is>
          <t>PVBSupplier</t>
        </is>
      </c>
      <c r="D20" s="157" t="inlineStr">
        <is>
          <t>m²</t>
        </is>
      </c>
      <c r="E20" s="194" t="n">
        <v>4.81</v>
      </c>
      <c r="F20" s="144" t="n"/>
      <c r="G20" s="250">
        <f>E20*F20</f>
        <v/>
      </c>
      <c r="H20" s="146" t="n">
        <v>108</v>
      </c>
      <c r="I20" s="147">
        <f>IF(H20=0,"–",F20/H20)</f>
        <v/>
      </c>
      <c r="J20" s="148" t="n"/>
      <c r="K20" s="149" t="n"/>
      <c r="L20" s="150" t="n"/>
    </row>
    <row r="21" ht="21.75" customHeight="1" s="170">
      <c r="B21" s="163" t="inlineStr">
        <is>
          <t>PVB PVBBrand UltraClear B200 NR</t>
        </is>
      </c>
      <c r="C21" s="157" t="inlineStr">
        <is>
          <t>PVBSupplier</t>
        </is>
      </c>
      <c r="D21" s="157" t="inlineStr">
        <is>
          <t>m²</t>
        </is>
      </c>
      <c r="E21" s="194" t="n">
        <v>4.81</v>
      </c>
      <c r="F21" s="144" t="n"/>
      <c r="G21" s="250">
        <f>E21*F21</f>
        <v/>
      </c>
      <c r="H21" s="146" t="n">
        <v>302</v>
      </c>
      <c r="I21" s="147">
        <f>IF(H21=0,"–",F21/H21)</f>
        <v/>
      </c>
      <c r="J21" s="148" t="n"/>
      <c r="K21" s="149" t="n"/>
      <c r="L21" s="150" t="n"/>
    </row>
    <row r="22" ht="21.75" customHeight="1" s="170">
      <c r="B22" s="163" t="inlineStr">
        <is>
          <t>PVB Saflex 0,38mm Clear</t>
        </is>
      </c>
      <c r="C22" s="157" t="inlineStr">
        <is>
          <t>PVBSupplierAlt</t>
        </is>
      </c>
      <c r="D22" s="157" t="inlineStr">
        <is>
          <t>m²</t>
        </is>
      </c>
      <c r="E22" s="194" t="n">
        <v>2.62</v>
      </c>
      <c r="F22" s="144" t="n"/>
      <c r="G22" s="250">
        <f>E22*F22</f>
        <v/>
      </c>
      <c r="H22" s="146" t="n">
        <v>96</v>
      </c>
      <c r="I22" s="147">
        <f>IF(H22=0,"–",F22/H22)</f>
        <v/>
      </c>
      <c r="J22" s="148" t="n"/>
      <c r="K22" s="149" t="n"/>
      <c r="L22" s="150" t="n"/>
    </row>
    <row r="23" ht="21.75" customHeight="1" s="170">
      <c r="B23" s="163" t="inlineStr">
        <is>
          <t>PVB Saflex 0,38mm Dusk Brown</t>
        </is>
      </c>
      <c r="C23" s="157" t="inlineStr">
        <is>
          <t>PVBSupplierAlt</t>
        </is>
      </c>
      <c r="D23" s="157" t="inlineStr">
        <is>
          <t>m²</t>
        </is>
      </c>
      <c r="E23" s="194" t="n">
        <v>3.4</v>
      </c>
      <c r="F23" s="144" t="n"/>
      <c r="G23" s="250">
        <f>E23*F23</f>
        <v/>
      </c>
      <c r="H23" s="146" t="n">
        <v>96</v>
      </c>
      <c r="I23" s="147">
        <f>IF(H23=0,"–",F23/H23)</f>
        <v/>
      </c>
      <c r="J23" s="148" t="n"/>
      <c r="K23" s="149" t="n"/>
      <c r="L23" s="150" t="n"/>
    </row>
    <row r="24" ht="21.75" customHeight="1" s="170">
      <c r="B24" s="163" t="inlineStr">
        <is>
          <t>Barva SG 7021 A černošedá</t>
        </is>
      </c>
      <c r="C24" s="157" t="inlineStr">
        <is>
          <t>CoatingsSupplier</t>
        </is>
      </c>
      <c r="D24" s="157" t="inlineStr">
        <is>
          <t>kg</t>
        </is>
      </c>
      <c r="E24" s="194" t="n">
        <v>25.67</v>
      </c>
      <c r="F24" s="144" t="n"/>
      <c r="G24" s="250">
        <f>E24*F24</f>
        <v/>
      </c>
      <c r="H24" s="146" t="n">
        <v>25</v>
      </c>
      <c r="I24" s="147">
        <f>IF(H24=0,"–",F24/H24)</f>
        <v/>
      </c>
      <c r="J24" s="148" t="n"/>
      <c r="K24" s="149" t="n"/>
      <c r="L24" s="150" t="n"/>
    </row>
    <row r="25" ht="21.75" customHeight="1" s="170">
      <c r="B25" s="163" t="inlineStr">
        <is>
          <t>Barva SG 7016 A šedá antracit</t>
        </is>
      </c>
      <c r="C25" s="157" t="inlineStr">
        <is>
          <t>CoatingsSupplier</t>
        </is>
      </c>
      <c r="D25" s="157" t="inlineStr">
        <is>
          <t>kg</t>
        </is>
      </c>
      <c r="E25" s="194" t="n">
        <v>29.48</v>
      </c>
      <c r="F25" s="144" t="n"/>
      <c r="G25" s="250">
        <f>E25*F25</f>
        <v/>
      </c>
      <c r="H25" s="146" t="n">
        <v>21</v>
      </c>
      <c r="I25" s="147">
        <f>IF(H25=0,"–",F25/H25)</f>
        <v/>
      </c>
      <c r="J25" s="148" t="n"/>
      <c r="K25" s="149" t="n"/>
      <c r="L25" s="150" t="n"/>
    </row>
    <row r="26" ht="15" customHeight="1" s="170">
      <c r="B26" s="26" t="inlineStr">
        <is>
          <t>CELKEM</t>
        </is>
      </c>
      <c r="C26" s="27" t="n"/>
      <c r="D26" s="27" t="n"/>
      <c r="E26" s="27" t="n"/>
      <c r="F26" s="27" t="n"/>
      <c r="G26" s="251">
        <f>SUM(G7:G25)</f>
        <v/>
      </c>
      <c r="H26" s="27" t="n"/>
      <c r="I26" s="27" t="n"/>
      <c r="J26" s="27" t="n"/>
      <c r="K26" s="27" t="n"/>
      <c r="L26" s="27" t="n"/>
    </row>
  </sheetData>
  <pageMargins left="0.75" right="0.75" top="1" bottom="1" header="0.511811023622047" footer="0.511811023622047"/>
  <pageSetup orientation="portrait" paperSize="9" scale="43" horizontalDpi="300" verticalDpi="300"/>
</worksheet>
</file>

<file path=xl/worksheets/sheet17.xml><?xml version="1.0" encoding="utf-8"?>
<worksheet xmlns="http://schemas.openxmlformats.org/spreadsheetml/2006/main">
  <sheetPr>
    <tabColor rgb="FF4CAF50"/>
    <outlinePr summaryBelow="1" summaryRight="1"/>
    <pageSetUpPr/>
  </sheetPr>
  <dimension ref="A1:B38"/>
  <sheetViews>
    <sheetView zoomScaleNormal="100" workbookViewId="0">
      <selection activeCell="G9" sqref="G9"/>
    </sheetView>
  </sheetViews>
  <sheetFormatPr baseColWidth="8" defaultColWidth="8.7109375" defaultRowHeight="15"/>
  <cols>
    <col width="3" customWidth="1" style="170" min="1" max="1"/>
    <col width="80" customWidth="1" style="170" min="2" max="2"/>
  </cols>
  <sheetData>
    <row r="1"/>
    <row r="2" ht="18" customHeight="1" s="170">
      <c r="B2" s="2" t="inlineStr">
        <is>
          <t>METODIKA VÝPOČTU – JAK ČÍST TENTO MODEL</t>
        </is>
      </c>
    </row>
    <row r="3"/>
    <row r="4" ht="21.75" customHeight="1" s="170">
      <c r="B4" s="152" t="inlineStr">
        <is>
          <t>1. CO TENTO MODEL UKAZUJE?</t>
        </is>
      </c>
    </row>
    <row r="5" ht="51" customHeight="1" s="170">
      <c r="B5" s="153" t="inlineStr">
        <is>
          <t>Tento model odhaduje, jak by mohly vzrůst nákupní ceny našich klíčových materiálů v reakci na rostoucí ceny ropy a zemního plynu na světových trzích. Nejde o přesnou předpověď, ale o simulační nástroj – umožňuje nám připravit se na různé scénáře a argumentovat při jednání s dodavateli.</t>
        </is>
      </c>
    </row>
    <row r="6">
      <c r="B6" s="153" t="n"/>
    </row>
    <row r="7">
      <c r="B7" s="152" t="inlineStr">
        <is>
          <t xml:space="preserve">2. JAK VÝPOČET FUNGUJE? </t>
        </is>
      </c>
    </row>
    <row r="8">
      <c r="B8" s="153" t="inlineStr">
        <is>
          <t>Výpočet má 3 klíčové parametry:</t>
        </is>
      </c>
    </row>
    <row r="9" ht="25.5" customHeight="1" s="170">
      <c r="B9" s="153" t="inlineStr">
        <is>
          <t xml:space="preserve">  a) Podíl energií na ceně produktu – kolik procent z ceny materiálu tvoří náklady na energii (např. u skla je to ~45 %, u silikonů ~30 %).</t>
        </is>
      </c>
    </row>
    <row r="10" ht="25.5" customHeight="1" s="170">
      <c r="B10" s="153" t="inlineStr">
        <is>
          <t xml:space="preserve">  b) Závislost na ropě vs. plynu – jaký poměr energetických nákladů připadá na ropu a jaký na plyn (např. butyl je 70 % ropa / 30 % plyn, protože hlavní surovina je z ropy).</t>
        </is>
      </c>
    </row>
    <row r="11" ht="38.25" customHeight="1" s="170">
      <c r="B11" s="153" t="inlineStr">
        <is>
          <t xml:space="preserve">  c) Míra promítnutí (pass-through rate) – kolik procent ze zdražení energií dodavatel reálně promítne do ceny. Ne 100 %, protože dodavatelé mají zásoby, dlouhodobé kontrakty na energie, a část nákladů absorbují.</t>
        </is>
      </c>
    </row>
    <row r="12">
      <c r="B12" s="153" t="n"/>
    </row>
    <row r="13">
      <c r="B13" s="152" t="inlineStr">
        <is>
          <t>3. TŘI SCÉNÁŘE</t>
        </is>
      </c>
    </row>
    <row r="14" ht="25.5" customHeight="1" s="170">
      <c r="B14" s="153" t="inlineStr">
        <is>
          <t>Model pracuje se třemi scénáři, které se liší v tom, kolik ze zdražení energií se promítne do cen:</t>
        </is>
      </c>
    </row>
    <row r="15" ht="25.5" customHeight="1" s="170">
      <c r="B15" s="153" t="inlineStr">
        <is>
          <t xml:space="preserve">  • MÍRNÝ (30 % pass-through) – dodavatel absorbuje většinu zdražení, promítne jen minimum. Typické pro krátkodobé výkyvy nebo dodavatele s dobrým hedgingem.</t>
        </is>
      </c>
    </row>
    <row r="16" ht="25.5" customHeight="1" s="170">
      <c r="B16" s="153" t="inlineStr">
        <is>
          <t xml:space="preserve">  • STŘEDNÍ (50 % pass-through) – dodavatel promítne polovinu zdražení. Realistický scénář pro situaci trvající 2-3 měsíce.</t>
        </is>
      </c>
    </row>
    <row r="17" ht="25.5" customHeight="1" s="170">
      <c r="B17" s="153" t="inlineStr">
        <is>
          <t xml:space="preserve">  • KRIZOVÝ (75 % pass-through) – dodavatel promítne většinu zdražení. Odpovídá situaci, kdy vysoké ceny energií trvají déle než 3 měsíce a dodavatel vyčerpá zásoby/fixace.</t>
        </is>
      </c>
    </row>
    <row r="18">
      <c r="B18" s="153" t="n"/>
    </row>
    <row r="19">
      <c r="B19" s="152" t="inlineStr">
        <is>
          <t>4. VZOREC</t>
        </is>
      </c>
    </row>
    <row r="20" ht="25.5" customHeight="1" s="170">
      <c r="B20" s="153" t="inlineStr">
        <is>
          <t>Nová cena = Aktuální cena × (1 + Podíl energií × (Závislost na ropě × Změna ceny ropy × Pass-through + Závislost na plyn × Změna ceny plynu × Pass-through))</t>
        </is>
      </c>
    </row>
    <row r="21">
      <c r="B21" s="153" t="n"/>
    </row>
    <row r="22">
      <c r="B22" s="153" t="inlineStr">
        <is>
          <t>Příklad: Butyl GD 115, aktuální cena 6,95 EUR/kg</t>
        </is>
      </c>
    </row>
    <row r="23">
      <c r="B23" s="153" t="inlineStr">
        <is>
          <t xml:space="preserve">  Podíl energií = 35 %, Závislost na ropě = 70 %, Závislost na plynu = 30 %</t>
        </is>
      </c>
    </row>
    <row r="24">
      <c r="B24" s="153" t="inlineStr">
        <is>
          <t xml:space="preserve">  Ropa zdražila o 60 % (z $71 na $114), Plyn zdražil o 56 % (z €32 na €50)</t>
        </is>
      </c>
    </row>
    <row r="25">
      <c r="B25" s="153" t="inlineStr">
        <is>
          <t xml:space="preserve">  Krizový scénář (75 % pass-through):</t>
        </is>
      </c>
    </row>
    <row r="26" ht="25.5" customHeight="1" s="170">
      <c r="B26" s="153" t="inlineStr">
        <is>
          <t xml:space="preserve">  6,95 × (1 + 0,35 × (0,70 × 0,60 × 0,75 + 0,30 × 0,56 × 0,75)) = cca 7,99 EUR/kg → zdražení o 1,04 EUR/kg (+15 %)</t>
        </is>
      </c>
    </row>
    <row r="27">
      <c r="B27" s="153" t="n"/>
    </row>
    <row r="28">
      <c r="B28" s="152" t="inlineStr">
        <is>
          <t>5. CO MODEL NEZACHYCUJE (OMEZENÍ)</t>
        </is>
      </c>
    </row>
    <row r="29" ht="25.5" customHeight="1" s="170">
      <c r="B29" s="153" t="inlineStr">
        <is>
          <t xml:space="preserve">  • Nevíme, za kolik mají dodavatelé energie zafixované – pokud mají roční fixace z roku 2025, dopad bude menší a opožděný.</t>
        </is>
      </c>
    </row>
    <row r="30">
      <c r="B30" s="153" t="inlineStr">
        <is>
          <t xml:space="preserve">  • Model nepočítá s kurzovými změnami EUR/USD (ropa se obchoduje v USD).</t>
        </is>
      </c>
    </row>
    <row r="31">
      <c r="B31" s="153" t="inlineStr">
        <is>
          <t xml:space="preserve">  • Nezohledňuje případné předzásobení dodavatelů surovinami za staré ceny.</t>
        </is>
      </c>
    </row>
    <row r="32" ht="25.5" customHeight="1" s="170">
      <c r="B32" s="153" t="inlineStr">
        <is>
          <t xml:space="preserve">  • Nezahrnuje další faktory (mzdy, logistiku, regulační poplatky), které mohou cenu také ovlivnit.</t>
        </is>
      </c>
    </row>
    <row r="33" ht="25.5" customHeight="1" s="170">
      <c r="B33" s="153" t="inlineStr">
        <is>
          <t xml:space="preserve">  • Podíly energetické závislosti jsou expertní odhady na základě obecně známých výrobních procesů – nikoliv auditované hodnoty od dodavatelů.</t>
        </is>
      </c>
    </row>
    <row r="34">
      <c r="B34" s="153" t="n"/>
    </row>
    <row r="35">
      <c r="B35" s="152" t="inlineStr">
        <is>
          <t>6. JAK S MODELEM PRACOVAT?</t>
        </is>
      </c>
    </row>
    <row r="36" ht="25.5" customHeight="1" s="170">
      <c r="B36" s="153" t="inlineStr">
        <is>
          <t xml:space="preserve">  • Všechny žlutě podbarvené buňky s modrým písmem jsou editovatelné – můžete měnit ceny, objemy i parametry.</t>
        </is>
      </c>
    </row>
    <row r="37" ht="25.5" customHeight="1" s="170">
      <c r="B37" s="153" t="inlineStr">
        <is>
          <t xml:space="preserve">  • Změňte vstupní ceny energií na listu "Ropa_a_plyn" a všechny listy se automaticky přepočítají.</t>
        </is>
      </c>
    </row>
    <row r="38" ht="25.5" customHeight="1" s="170">
      <c r="B38" s="153" t="inlineStr">
        <is>
          <t xml:space="preserve">  • Model umožňuje kvantifikovat argument "o kolik by cena měla reálně vzrůst" vs. "o kolik dodavatel žádá".</t>
        </is>
      </c>
    </row>
  </sheetData>
  <pageMargins left="0.75" right="0.75" top="1" bottom="1" header="0.511811023622047" footer="0.511811023622047"/>
  <pageSetup orientation="portrait" paperSize="9" horizontalDpi="300" verticalDpi="300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tabColor rgb="FF1F4E79"/>
    <outlinePr summaryBelow="1" summaryRight="1"/>
    <pageSetUpPr/>
  </sheetPr>
  <dimension ref="A1:N40"/>
  <sheetViews>
    <sheetView tabSelected="1" topLeftCell="A11" zoomScaleNormal="100" workbookViewId="0">
      <selection activeCell="R33" sqref="R33"/>
    </sheetView>
  </sheetViews>
  <sheetFormatPr baseColWidth="8" defaultColWidth="8.7109375" defaultRowHeight="15"/>
  <cols>
    <col width="3" customWidth="1" style="170" min="1" max="1"/>
    <col width="30" customWidth="1" style="170" min="2" max="2"/>
    <col width="18" customWidth="1" style="170" min="3" max="3"/>
    <col width="12" customWidth="1" style="170" min="4" max="5"/>
    <col width="18" customWidth="1" style="170" min="6" max="8"/>
    <col width="15" customWidth="1" style="170" min="9" max="9"/>
    <col width="18" customWidth="1" style="170" min="10" max="10"/>
    <col width="14" customWidth="1" style="170" min="11" max="11"/>
    <col width="16" customWidth="1" style="170" min="12" max="12"/>
    <col width="14" customWidth="1" style="170" min="13" max="14"/>
  </cols>
  <sheetData>
    <row r="1"/>
    <row r="2" ht="54" customHeight="1" s="170">
      <c r="B2" s="2" t="inlineStr">
        <is>
          <t>KRIZOVÝ CENOVÝ MODEL – VÝHLED Q2-Q3 2026</t>
        </is>
      </c>
    </row>
    <row r="3" ht="30" customHeight="1" s="170">
      <c r="B3" s="32" t="inlineStr">
        <is>
          <t>Dopad růstu cen ropy a plynu na dodavatelské ceny</t>
        </is>
      </c>
    </row>
    <row r="4" ht="25.5" customHeight="1" s="170">
      <c r="B4" s="3" t="inlineStr">
        <is>
          <t>DemoGlass (Demo Industrial Group) – Strategický nákup</t>
        </is>
      </c>
    </row>
    <row r="5" ht="15" customHeight="1" s="170">
      <c r="B5" s="162" t="inlineStr">
        <is>
          <t>Datum vytvoření: 19. března 2026</t>
        </is>
      </c>
    </row>
    <row r="6"/>
    <row r="7" ht="15" customHeight="1" s="170">
      <c r="B7" s="171" t="inlineStr">
        <is>
          <t>AKTUÁLNÍ TRŽNÍ DATA</t>
        </is>
      </c>
      <c r="C7" s="173" t="n"/>
      <c r="D7" s="173" t="n"/>
      <c r="E7" s="173" t="n"/>
      <c r="F7" s="173" t="n"/>
      <c r="G7" s="173" t="n"/>
      <c r="H7" s="173" t="n"/>
      <c r="I7" s="173" t="n"/>
    </row>
    <row r="8" ht="25.5" customHeight="1" s="170">
      <c r="B8" s="7" t="inlineStr">
        <is>
          <t>Ukazatel</t>
        </is>
      </c>
      <c r="C8" s="7" t="inlineStr">
        <is>
          <t>Aktuální hodnota</t>
        </is>
      </c>
      <c r="D8" s="7" t="inlineStr">
        <is>
          <t>Před 2 měsíci</t>
        </is>
      </c>
      <c r="E8" s="7" t="inlineStr">
        <is>
          <t>Změna</t>
        </is>
      </c>
    </row>
    <row r="9" ht="15" customHeight="1" s="170">
      <c r="B9" s="34" t="inlineStr">
        <is>
          <t>Brent Crude Oil (USD/barel)</t>
        </is>
      </c>
      <c r="C9" s="199" t="n">
        <v>101</v>
      </c>
      <c r="D9" s="200" t="n">
        <v>71</v>
      </c>
      <c r="E9" s="201">
        <f>(C9-D9)/D9</f>
        <v/>
      </c>
    </row>
    <row r="10" ht="15" customHeight="1" s="170">
      <c r="B10" s="34" t="inlineStr">
        <is>
          <t>TTF Natural Gas (EUR/MWh)</t>
        </is>
      </c>
      <c r="C10" s="202" t="n">
        <v>46.5</v>
      </c>
      <c r="D10" s="203" t="n">
        <v>32</v>
      </c>
      <c r="E10" s="201">
        <f>(C10-D10)/D10</f>
        <v/>
      </c>
    </row>
    <row r="11"/>
    <row r="12"/>
    <row r="13" ht="60" customHeight="1" s="170">
      <c r="B13" s="171" t="inlineStr">
        <is>
          <t>SOUHRNNÝ PŘEHLED MATERIÁLŮ – PREDIKOVANÉ CENOVÉ DOPADY</t>
        </is>
      </c>
      <c r="C13" s="173" t="n"/>
      <c r="D13" s="173" t="n"/>
      <c r="E13" s="173" t="n"/>
      <c r="F13" s="173" t="n"/>
      <c r="G13" s="173" t="n"/>
      <c r="H13" s="173" t="n"/>
      <c r="I13" s="173" t="n"/>
      <c r="J13" s="173" t="n"/>
    </row>
    <row r="14" ht="29.25" customHeight="1" s="170">
      <c r="B14" s="7" t="inlineStr">
        <is>
          <t>Materiál / Dodavatel</t>
        </is>
      </c>
      <c r="C14" s="7" t="inlineStr">
        <is>
          <t>Aktuální cena
(EUR/kg)</t>
        </is>
      </c>
      <c r="D14" s="7" t="inlineStr">
        <is>
          <t>Měs. objem</t>
        </is>
      </c>
      <c r="E14" s="7" t="inlineStr">
        <is>
          <t>Celkem
6M</t>
        </is>
      </c>
      <c r="F14" s="7" t="inlineStr">
        <is>
          <t>Scénář MÍRNÝ
(+cena)</t>
        </is>
      </c>
      <c r="G14" s="7" t="inlineStr">
        <is>
          <t>Scénář STŘEDNÍ
(+cena)</t>
        </is>
      </c>
      <c r="H14" s="7" t="inlineStr">
        <is>
          <t>Scénář KRIZOVÝ
(+cena)</t>
        </is>
      </c>
      <c r="I14" s="7" t="inlineStr">
        <is>
          <t>KRIZOVÝ
(% změna)</t>
        </is>
      </c>
      <c r="J14" s="7" t="inlineStr">
        <is>
          <t>KRIZOVÝ dopad
6M (EUR)</t>
        </is>
      </c>
      <c r="K14" s="154" t="inlineStr">
        <is>
          <t>Reálné
zdražení (%)</t>
        </is>
      </c>
      <c r="L14" s="154" t="inlineStr">
        <is>
          <t>Reálný dopad
6M (EUR)</t>
        </is>
      </c>
      <c r="M14" s="154" t="inlineStr">
        <is>
          <t>Přesnost
predikce</t>
        </is>
      </c>
      <c r="N14" s="154" t="inlineStr">
        <is>
          <t>Zdražení
od</t>
        </is>
      </c>
    </row>
    <row r="15" ht="15" customHeight="1" s="170">
      <c r="B15" s="163" t="inlineStr">
        <is>
          <t>Butyl – SealantBrand115</t>
        </is>
      </c>
      <c r="C15" s="202" t="n">
        <v>6.95</v>
      </c>
      <c r="D15" s="40">
        <f>8266/12</f>
        <v/>
      </c>
      <c r="E15" s="41">
        <f>D15*6</f>
        <v/>
      </c>
      <c r="F15" s="204">
        <f>C15*(0.7*(C9-D9)/D9*0.3+0.3*(C10-D10)/D10*0.3)*0.35</f>
        <v/>
      </c>
      <c r="G15" s="205">
        <f>C15*(0.7*(C9-D9)/D9*0.5+0.3*(C10-D10)/D10*0.5)*0.35</f>
        <v/>
      </c>
      <c r="H15" s="206">
        <f>C15*(0.7*(C9-D9)/D9*0.75+0.3*(C10-D10)/D10*0.75)*0.35</f>
        <v/>
      </c>
      <c r="I15" s="192">
        <f>H15/C15</f>
        <v/>
      </c>
      <c r="J15" s="196">
        <f>H15*E15</f>
        <v/>
      </c>
      <c r="K15" s="207" t="n">
        <v>0.1</v>
      </c>
      <c r="L15" s="196">
        <f>C15*K15*E15</f>
        <v/>
      </c>
      <c r="M15" s="46" t="inlineStr">
        <is>
          <t>✅ Potvrzeno</t>
        </is>
      </c>
      <c r="N15" s="176" t="n">
        <v>46113</v>
      </c>
    </row>
    <row r="16" ht="15" customHeight="1" s="170">
      <c r="B16" s="163" t="inlineStr">
        <is>
          <t>Sealant130AB (polyuretan)</t>
        </is>
      </c>
      <c r="C16" s="202" t="n">
        <v>2.66</v>
      </c>
      <c r="D16" s="40">
        <f>59200/12</f>
        <v/>
      </c>
      <c r="E16" s="41">
        <f>D16*6</f>
        <v/>
      </c>
      <c r="F16" s="204">
        <f>C16*(0.55*(C9-D9)/D9*0.3+0.45*(C10-D10)/D10*0.3)*0.3</f>
        <v/>
      </c>
      <c r="G16" s="205">
        <f>C16*(0.55*(C9-D9)/D9*0.5+0.45*(C10-D10)/D10*0.5)*0.3</f>
        <v/>
      </c>
      <c r="H16" s="206">
        <f>C16*(0.55*(C9-D9)/D9*0.75+0.45*(C10-D10)/D10*0.75)*0.3</f>
        <v/>
      </c>
      <c r="I16" s="192">
        <f>H16/C16</f>
        <v/>
      </c>
      <c r="J16" s="196">
        <f>H16*E16</f>
        <v/>
      </c>
      <c r="K16" s="207" t="n">
        <v>0.05</v>
      </c>
      <c r="L16" s="196">
        <f>C16*K16*E16</f>
        <v/>
      </c>
      <c r="M16" s="46" t="inlineStr">
        <is>
          <t>✅ Potvrzeno</t>
        </is>
      </c>
      <c r="N16" s="176" t="n">
        <v>46125</v>
      </c>
    </row>
    <row r="17" ht="15" customHeight="1" s="170">
      <c r="B17" s="163" t="inlineStr">
        <is>
          <t>SiliconeSealant25 A (260 kg)</t>
        </is>
      </c>
      <c r="C17" s="202" t="n">
        <v>3.82</v>
      </c>
      <c r="D17" s="40">
        <f>7800/12</f>
        <v/>
      </c>
      <c r="E17" s="41">
        <f>D17*6</f>
        <v/>
      </c>
      <c r="F17" s="204">
        <f>C17*(0.4*(C9-D9)/D9*0.3+0.6*(C10-D10)/D10*0.3)*0.3</f>
        <v/>
      </c>
      <c r="G17" s="205">
        <f>C17*(0.4*(C9-D9)/D9*0.5+0.6*(C10-D10)/D10*0.5)*0.3</f>
        <v/>
      </c>
      <c r="H17" s="206">
        <f>C17*(0.4*(C9-D9)/D9*0.75+0.6*(C10-D10)/D10*0.75)*0.3</f>
        <v/>
      </c>
      <c r="I17" s="192">
        <f>H17/C17</f>
        <v/>
      </c>
      <c r="J17" s="196">
        <f>H17*E17</f>
        <v/>
      </c>
      <c r="K17" s="207" t="n">
        <v>0.05</v>
      </c>
      <c r="L17" s="196">
        <f>C17*K17*E17</f>
        <v/>
      </c>
      <c r="M17" s="46" t="inlineStr">
        <is>
          <t>✅ Potvrzeno</t>
        </is>
      </c>
      <c r="N17" s="176" t="n">
        <v>46174</v>
      </c>
    </row>
    <row r="18" ht="15" customHeight="1" s="170">
      <c r="B18" s="163" t="inlineStr">
        <is>
          <t>SiliconeSealant25 B (20 kg)</t>
        </is>
      </c>
      <c r="C18" s="202" t="n">
        <v>17.5</v>
      </c>
      <c r="D18" s="40">
        <f>600/12</f>
        <v/>
      </c>
      <c r="E18" s="41">
        <f>D18*6</f>
        <v/>
      </c>
      <c r="F18" s="204">
        <f>C18*(0.4*(C9-D9)/D9*0.3+0.6*(C10-D10)/D10*0.3)*0.3</f>
        <v/>
      </c>
      <c r="G18" s="205">
        <f>C18*(0.4*(C9-D9)/D9*0.5+0.6*(C10-D10)/D10*0.5)*0.3</f>
        <v/>
      </c>
      <c r="H18" s="206">
        <f>C18*(0.4*(C9-D9)/D9*0.75+0.6*(C10-D10)/D10*0.75)*0.3</f>
        <v/>
      </c>
      <c r="I18" s="192">
        <f>H18/C18</f>
        <v/>
      </c>
      <c r="J18" s="196">
        <f>H18*E18</f>
        <v/>
      </c>
      <c r="K18" s="207" t="n">
        <v>0.05</v>
      </c>
      <c r="L18" s="196">
        <f>C18*K18*E18</f>
        <v/>
      </c>
      <c r="M18" s="46" t="inlineStr">
        <is>
          <t>✅ Potvrzeno</t>
        </is>
      </c>
      <c r="N18" s="176" t="n">
        <v>46174</v>
      </c>
    </row>
    <row r="19" ht="15" customHeight="1" s="170">
      <c r="B19" s="163" t="inlineStr">
        <is>
          <t>SieveBrandSieveBrand 555</t>
        </is>
      </c>
      <c r="C19" s="202" t="n">
        <v>2.08</v>
      </c>
      <c r="D19" s="40">
        <f>30865/12</f>
        <v/>
      </c>
      <c r="E19" s="41">
        <f>D19*6</f>
        <v/>
      </c>
      <c r="F19" s="204">
        <f>C19*(0.3*(C9-D9)/D9*0.3+0.7*(C10-D10)/D10*0.3)*0.4</f>
        <v/>
      </c>
      <c r="G19" s="205">
        <f>C19*(0.3*(C9-D9)/D9*0.5+0.7*(C10-D10)/D10*0.5)*0.4</f>
        <v/>
      </c>
      <c r="H19" s="206">
        <f>C19*(0.3*(C9-D9)/D9*0.75+0.7*(C10-D10)/D10*0.75)*0.4</f>
        <v/>
      </c>
      <c r="I19" s="192">
        <f>H19/C19</f>
        <v/>
      </c>
      <c r="J19" s="196">
        <f>H19*E19</f>
        <v/>
      </c>
      <c r="K19" s="208" t="n">
        <v>0</v>
      </c>
      <c r="L19" s="209">
        <f>C19*K19*E19</f>
        <v/>
      </c>
      <c r="M19" s="179" t="n"/>
      <c r="N19" s="180" t="n"/>
    </row>
    <row r="20" ht="15" customHeight="1" s="170">
      <c r="B20" s="163" t="inlineStr">
        <is>
          <t>SieveBrandSieveBrand 551</t>
        </is>
      </c>
      <c r="C20" s="202" t="n">
        <v>2.08</v>
      </c>
      <c r="D20" s="40">
        <f>7840/12</f>
        <v/>
      </c>
      <c r="E20" s="41">
        <f>D20*6</f>
        <v/>
      </c>
      <c r="F20" s="204">
        <f>C20*(0.3*(C9-D9)/D9*0.3+0.7*(C10-D10)/D10*0.3)*0.4</f>
        <v/>
      </c>
      <c r="G20" s="205">
        <f>C20*(0.3*(C9-D9)/D9*0.5+0.7*(C10-D10)/D10*0.5)*0.4</f>
        <v/>
      </c>
      <c r="H20" s="206">
        <f>C20*(0.3*(C9-D9)/D9*0.75+0.7*(C10-D10)/D10*0.75)*0.4</f>
        <v/>
      </c>
      <c r="I20" s="192">
        <f>H20/C20</f>
        <v/>
      </c>
      <c r="J20" s="196">
        <f>H20*E20</f>
        <v/>
      </c>
      <c r="K20" s="208" t="n">
        <v>0</v>
      </c>
      <c r="L20" s="209">
        <f>C20*K20*E20</f>
        <v/>
      </c>
      <c r="M20" s="179" t="n"/>
      <c r="N20" s="180" t="n"/>
    </row>
    <row r="21" ht="15" customHeight="1" s="170">
      <c r="B21" s="163" t="inlineStr">
        <is>
          <t>SpacerBrandAdvance 14mm</t>
        </is>
      </c>
      <c r="C21" s="202" t="n">
        <v>0.37</v>
      </c>
      <c r="D21" s="40">
        <f>170734/12</f>
        <v/>
      </c>
      <c r="E21" s="41">
        <f>D21*6</f>
        <v/>
      </c>
      <c r="F21" s="204">
        <f>C21*(0.5*(C9-D9)/D9*0.3+0.5*(C10-D10)/D10*0.3)*0.3</f>
        <v/>
      </c>
      <c r="G21" s="205">
        <f>C21*(0.5*(C9-D9)/D9*0.5+0.5*(C10-D10)/D10*0.5)*0.3</f>
        <v/>
      </c>
      <c r="H21" s="206">
        <f>C21*(0.5*(C9-D9)/D9*0.75+0.5*(C10-D10)/D10*0.75)*0.3</f>
        <v/>
      </c>
      <c r="I21" s="192">
        <f>H21/C21</f>
        <v/>
      </c>
      <c r="J21" s="196">
        <f>H21*E21</f>
        <v/>
      </c>
      <c r="K21" s="207" t="n">
        <v>0.066</v>
      </c>
      <c r="L21" s="196">
        <f>C21*K21*E21</f>
        <v/>
      </c>
      <c r="M21" s="46" t="inlineStr">
        <is>
          <t>✅ Potvrzeno</t>
        </is>
      </c>
      <c r="N21" s="176" t="n">
        <v>46143</v>
      </c>
    </row>
    <row r="22" ht="15" customHeight="1" s="170">
      <c r="B22" s="163" t="inlineStr">
        <is>
          <t>SpacerBrandAdvance 16mm</t>
        </is>
      </c>
      <c r="C22" s="202" t="n">
        <v>0.381</v>
      </c>
      <c r="D22" s="40">
        <f>364460/12</f>
        <v/>
      </c>
      <c r="E22" s="41">
        <f>D22*6</f>
        <v/>
      </c>
      <c r="F22" s="204">
        <f>C22*(0.5*(C9-D9)/D9*0.3+0.5*(C10-D10)/D10*0.3)*0.3</f>
        <v/>
      </c>
      <c r="G22" s="205">
        <f>C22*(0.5*(C9-D9)/D9*0.5+0.5*(C10-D10)/D10*0.5)*0.3</f>
        <v/>
      </c>
      <c r="H22" s="206">
        <f>C22*(0.5*(C9-D9)/D9*0.75+0.5*(C10-D10)/D10*0.75)*0.3</f>
        <v/>
      </c>
      <c r="I22" s="192">
        <f>H22/C22</f>
        <v/>
      </c>
      <c r="J22" s="196">
        <f>H22*E22</f>
        <v/>
      </c>
      <c r="K22" s="207" t="n">
        <v>0.066</v>
      </c>
      <c r="L22" s="196">
        <f>C22*K22*E22</f>
        <v/>
      </c>
      <c r="M22" s="46" t="inlineStr">
        <is>
          <t>✅ Potvrzeno</t>
        </is>
      </c>
      <c r="N22" s="176" t="n">
        <v>46143</v>
      </c>
    </row>
    <row r="23" ht="15" customHeight="1" s="170">
      <c r="B23" s="163" t="inlineStr">
        <is>
          <t>SpacerBrandAdvance 18mm</t>
        </is>
      </c>
      <c r="C23" s="202" t="n">
        <v>0.44</v>
      </c>
      <c r="D23" s="40">
        <f>407736/12</f>
        <v/>
      </c>
      <c r="E23" s="41">
        <f>D23*6</f>
        <v/>
      </c>
      <c r="F23" s="204">
        <f>C23*(0.5*(C9-D9)/D9*0.3+0.5*(C10-D10)/D10*0.3)*0.3</f>
        <v/>
      </c>
      <c r="G23" s="205">
        <f>C23*(0.5*(C9-D9)/D9*0.5+0.5*(C10-D10)/D10*0.5)*0.3</f>
        <v/>
      </c>
      <c r="H23" s="206">
        <f>C23*(0.5*(C9-D9)/D9*0.75+0.5*(C10-D10)/D10*0.75)*0.3</f>
        <v/>
      </c>
      <c r="I23" s="192">
        <f>H23/C23</f>
        <v/>
      </c>
      <c r="J23" s="196">
        <f>H23*E23</f>
        <v/>
      </c>
      <c r="K23" s="207" t="n">
        <v>0.066</v>
      </c>
      <c r="L23" s="196">
        <f>C23*K23*E23</f>
        <v/>
      </c>
      <c r="M23" s="46" t="inlineStr">
        <is>
          <t>✅ Potvrzeno</t>
        </is>
      </c>
      <c r="N23" s="176" t="n">
        <v>46143</v>
      </c>
    </row>
    <row r="24" ht="15" customHeight="1" s="170">
      <c r="B24" s="163" t="inlineStr">
        <is>
          <t>SupplierA FloatBrandClear 4mm</t>
        </is>
      </c>
      <c r="C24" s="202" t="n">
        <v>4.68</v>
      </c>
      <c r="D24" s="40">
        <f>139506/12</f>
        <v/>
      </c>
      <c r="E24" s="41">
        <f>D24*6</f>
        <v/>
      </c>
      <c r="F24" s="204">
        <f>C24*(0.15*(C9-D9)/D9*0.3+0.85*(C10-D10)/D10*0.3)*0.45</f>
        <v/>
      </c>
      <c r="G24" s="205">
        <f>C24*(0.15*(C9-D9)/D9*0.5+0.85*(C10-D10)/D10*0.5)*0.45</f>
        <v/>
      </c>
      <c r="H24" s="206">
        <f>C24*(0.15*(C9-D9)/D9*0.75+0.85*(C10-D10)/D10*0.75)*0.45</f>
        <v/>
      </c>
      <c r="I24" s="192">
        <f>H24/C24</f>
        <v/>
      </c>
      <c r="J24" s="196">
        <f>H24*E24</f>
        <v/>
      </c>
      <c r="K24" s="207" t="n">
        <v>0.0128</v>
      </c>
      <c r="L24" s="196">
        <f>C24*K24*E24</f>
        <v/>
      </c>
      <c r="M24" s="46" t="inlineStr">
        <is>
          <t>✅ Potvrzeno</t>
        </is>
      </c>
      <c r="N24" s="176" t="n">
        <v>46122</v>
      </c>
    </row>
    <row r="25" ht="15" customHeight="1" s="170">
      <c r="B25" s="163" t="inlineStr">
        <is>
          <t>SupplierA CoatedBrandPremiumN 4mm</t>
        </is>
      </c>
      <c r="C25" s="202" t="n">
        <v>5.83</v>
      </c>
      <c r="D25" s="40">
        <f>135829/12</f>
        <v/>
      </c>
      <c r="E25" s="41">
        <f>D25*6</f>
        <v/>
      </c>
      <c r="F25" s="204">
        <f>C25*(0.15*(C9-D9)/D9*0.3+0.85*(C10-D10)/D10*0.3)*0.45</f>
        <v/>
      </c>
      <c r="G25" s="205">
        <f>C25*(0.15*(C9-D9)/D9*0.5+0.85*(C10-D10)/D10*0.5)*0.45</f>
        <v/>
      </c>
      <c r="H25" s="206">
        <f>C25*(0.15*(C9-D9)/D9*0.75+0.85*(C10-D10)/D10*0.75)*0.45</f>
        <v/>
      </c>
      <c r="I25" s="192">
        <f>H25/C25</f>
        <v/>
      </c>
      <c r="J25" s="196">
        <f>H25*E25</f>
        <v/>
      </c>
      <c r="K25" s="207" t="n">
        <v>0.019</v>
      </c>
      <c r="L25" s="196">
        <f>C25*K25*E25</f>
        <v/>
      </c>
      <c r="M25" s="46" t="inlineStr">
        <is>
          <t>✅ Potvrzeno</t>
        </is>
      </c>
      <c r="N25" s="176" t="n">
        <v>46122</v>
      </c>
    </row>
    <row r="26" ht="15" customHeight="1" s="170">
      <c r="B26" s="163" t="inlineStr">
        <is>
          <t>PVB PVBBrand Clear B200</t>
        </is>
      </c>
      <c r="C26" s="202" t="n">
        <v>4.81</v>
      </c>
      <c r="D26" s="40" t="n">
        <v>108</v>
      </c>
      <c r="E26" s="41">
        <f>D26*6</f>
        <v/>
      </c>
      <c r="F26" s="204">
        <f>C26*(0.6*(C9-D9)/D9*0.3+0.4*(C10-D10)/D10*0.3)*0.35</f>
        <v/>
      </c>
      <c r="G26" s="205">
        <f>C26*(0.6*(C9-D9)/D9*0.5+0.4*(C10-D10)/D10*0.5)*0.35</f>
        <v/>
      </c>
      <c r="H26" s="206">
        <f>C26*(0.6*(C9-D9)/D9*0.75+0.4*(C10-D10)/D10*0.75)*0.35</f>
        <v/>
      </c>
      <c r="I26" s="192">
        <f>H26/C26</f>
        <v/>
      </c>
      <c r="J26" s="196">
        <f>H26*E26</f>
        <v/>
      </c>
      <c r="K26" s="208" t="n">
        <v>0</v>
      </c>
      <c r="L26" s="209">
        <f>C26*K26*E26</f>
        <v/>
      </c>
      <c r="M26" s="179" t="n"/>
      <c r="N26" s="180" t="n"/>
    </row>
    <row r="27" ht="15" customHeight="1" s="170">
      <c r="B27" s="163" t="inlineStr">
        <is>
          <t>PVB PVBBrand UltraClear B200 NR</t>
        </is>
      </c>
      <c r="C27" s="202" t="n">
        <v>4.81</v>
      </c>
      <c r="D27" s="40" t="n">
        <v>302</v>
      </c>
      <c r="E27" s="41">
        <f>D27*6</f>
        <v/>
      </c>
      <c r="F27" s="204">
        <f>C27*(0.6*(C9-D9)/D9*0.3+0.4*(C10-D10)/D10*0.3)*0.35</f>
        <v/>
      </c>
      <c r="G27" s="205">
        <f>C27*(0.6*(C9-D9)/D9*0.5+0.4*(C10-D10)/D10*0.5)*0.35</f>
        <v/>
      </c>
      <c r="H27" s="206">
        <f>C27*(0.6*(C9-D9)/D9*0.75+0.4*(C10-D10)/D10*0.75)*0.35</f>
        <v/>
      </c>
      <c r="I27" s="192">
        <f>H27/C27</f>
        <v/>
      </c>
      <c r="J27" s="196">
        <f>H27*E27</f>
        <v/>
      </c>
      <c r="K27" s="208" t="n">
        <v>0</v>
      </c>
      <c r="L27" s="209">
        <f>C27*K27*E27</f>
        <v/>
      </c>
      <c r="M27" s="179" t="n"/>
      <c r="N27" s="180" t="n"/>
    </row>
    <row r="28" ht="15" customHeight="1" s="170">
      <c r="B28" s="163" t="inlineStr">
        <is>
          <t>PVB Saflex 0,38mm Clear</t>
        </is>
      </c>
      <c r="C28" s="202" t="n">
        <v>2.62</v>
      </c>
      <c r="D28" s="40" t="n">
        <v>96</v>
      </c>
      <c r="E28" s="41">
        <f>D28*6</f>
        <v/>
      </c>
      <c r="F28" s="204">
        <f>C28*(0.6*(C9-D9)/D9*0.3+0.4*(C10-D10)/D10*0.3)*0.35</f>
        <v/>
      </c>
      <c r="G28" s="205">
        <f>C28*(0.6*(C9-D9)/D9*0.5+0.4*(C10-D10)/D10*0.5)*0.35</f>
        <v/>
      </c>
      <c r="H28" s="206">
        <f>C28*(0.6*(C9-D9)/D9*0.75+0.4*(C10-D10)/D10*0.75)*0.35</f>
        <v/>
      </c>
      <c r="I28" s="192">
        <f>H28/C28</f>
        <v/>
      </c>
      <c r="J28" s="196">
        <f>H28*E28</f>
        <v/>
      </c>
      <c r="K28" s="208" t="n">
        <v>0</v>
      </c>
      <c r="L28" s="209">
        <f>C28*K28*E28</f>
        <v/>
      </c>
      <c r="M28" s="179" t="n"/>
      <c r="N28" s="180" t="n"/>
    </row>
    <row r="29" ht="38.25" customHeight="1" s="170">
      <c r="B29" s="163" t="inlineStr">
        <is>
          <t>PVB Saflex 0,38mm Dusk Brown</t>
        </is>
      </c>
      <c r="C29" s="202" t="n">
        <v>3.4</v>
      </c>
      <c r="D29" s="40" t="n">
        <v>96</v>
      </c>
      <c r="E29" s="41">
        <f>D29*6</f>
        <v/>
      </c>
      <c r="F29" s="204">
        <f>C29*(0.6*(C9-D9)/D9*0.3+0.4*(C10-D10)/D10*0.3)*0.35</f>
        <v/>
      </c>
      <c r="G29" s="205">
        <f>C29*(0.6*(C9-D9)/D9*0.5+0.4*(C10-D10)/D10*0.5)*0.35</f>
        <v/>
      </c>
      <c r="H29" s="206">
        <f>C29*(0.6*(C9-D9)/D9*0.75+0.4*(C10-D10)/D10*0.75)*0.35</f>
        <v/>
      </c>
      <c r="I29" s="192">
        <f>H29/C29</f>
        <v/>
      </c>
      <c r="J29" s="196">
        <f>H29*E29</f>
        <v/>
      </c>
      <c r="K29" s="208" t="n">
        <v>0</v>
      </c>
      <c r="L29" s="209">
        <f>C29*K29*E29</f>
        <v/>
      </c>
      <c r="M29" s="179" t="n"/>
      <c r="N29" s="180" t="n"/>
    </row>
    <row r="30" ht="25.5" customHeight="1" s="170">
      <c r="B30" s="163" t="inlineStr">
        <is>
          <t>Barva SG 7021 A černošedá</t>
        </is>
      </c>
      <c r="C30" s="202" t="n">
        <v>25.67</v>
      </c>
      <c r="D30" s="40" t="n">
        <v>25</v>
      </c>
      <c r="E30" s="41">
        <f>D30*6</f>
        <v/>
      </c>
      <c r="F30" s="204">
        <f>C30*(0.25*(C9-D9)/D9*0.3+0.75*(C10-D10)/D10*0.3)*0.4</f>
        <v/>
      </c>
      <c r="G30" s="205">
        <f>C30*(0.25*(C9-D9)/D9*0.5+0.75*(C10-D10)/D10*0.5)*0.4</f>
        <v/>
      </c>
      <c r="H30" s="206">
        <f>C30*(0.25*(C9-D9)/D9*0.75+0.75*(C10-D10)/D10*0.75)*0.4</f>
        <v/>
      </c>
      <c r="I30" s="192">
        <f>H30/C30</f>
        <v/>
      </c>
      <c r="J30" s="196">
        <f>H30*E30</f>
        <v/>
      </c>
      <c r="K30" s="208" t="n">
        <v>0</v>
      </c>
      <c r="L30" s="209">
        <f>C30*K30*E30</f>
        <v/>
      </c>
      <c r="M30" s="179" t="n"/>
      <c r="N30" s="180" t="n"/>
    </row>
    <row r="31" ht="25.5" customHeight="1" s="170">
      <c r="B31" s="163" t="inlineStr">
        <is>
          <t>Barva SG 7016 A šedá antracit</t>
        </is>
      </c>
      <c r="C31" s="202" t="n">
        <v>29.48</v>
      </c>
      <c r="D31" s="40" t="n">
        <v>21</v>
      </c>
      <c r="E31" s="41">
        <f>D31*6</f>
        <v/>
      </c>
      <c r="F31" s="204">
        <f>C31*(0.25*(C9-D9)/D9*0.3+0.75*(C10-D10)/D10*0.3)*0.4</f>
        <v/>
      </c>
      <c r="G31" s="205">
        <f>C31*(0.25*(C9-D9)/D9*0.5+0.75*(C10-D10)/D10*0.5)*0.4</f>
        <v/>
      </c>
      <c r="H31" s="206">
        <f>C31*(0.25*(C9-D9)/D9*0.75+0.75*(C10-D10)/D10*0.75)*0.4</f>
        <v/>
      </c>
      <c r="I31" s="192">
        <f>H31/C31</f>
        <v/>
      </c>
      <c r="J31" s="196">
        <f>H31*E31</f>
        <v/>
      </c>
      <c r="K31" s="208" t="n">
        <v>0</v>
      </c>
      <c r="L31" s="209">
        <f>C31*K31*E31</f>
        <v/>
      </c>
      <c r="M31" s="179" t="n"/>
      <c r="N31" s="180" t="n"/>
    </row>
    <row r="32" ht="38.25" customHeight="1" s="170">
      <c r="B32" s="163" t="inlineStr">
        <is>
          <t>Tmel GD 116NA komp. A</t>
        </is>
      </c>
      <c r="C32" s="202" t="n">
        <v>4.32</v>
      </c>
      <c r="D32" s="40" t="n">
        <v>672</v>
      </c>
      <c r="E32" s="41">
        <f>D32*6</f>
        <v/>
      </c>
      <c r="F32" s="204">
        <f>C32*(0.55*(C9-D9)/D9*0.3+0.45*(C10-D10)/D10*0.3)*0.3</f>
        <v/>
      </c>
      <c r="G32" s="205">
        <f>C32*(0.55*(C9-D9)/D9*0.5+0.45*(C10-D10)/D10*0.5)*0.3</f>
        <v/>
      </c>
      <c r="H32" s="206">
        <f>C32*(0.55*(C9-D9)/D9*0.75+0.45*(C10-D10)/D10*0.75)*0.3</f>
        <v/>
      </c>
      <c r="I32" s="192">
        <f>H32/C32</f>
        <v/>
      </c>
      <c r="J32" s="196">
        <f>H32*E32</f>
        <v/>
      </c>
      <c r="K32" s="207" t="n">
        <v>0.1</v>
      </c>
      <c r="L32" s="196">
        <f>C32*K32*E32</f>
        <v/>
      </c>
      <c r="M32" s="47" t="inlineStr">
        <is>
          <t>✅ Potvrzeno</t>
        </is>
      </c>
      <c r="N32" s="175" t="inlineStr">
        <is>
          <t>1.4.2026</t>
        </is>
      </c>
    </row>
    <row r="33" ht="23.25" customHeight="1" s="170">
      <c r="B33" s="163" t="inlineStr">
        <is>
          <t>Tmel GD 116NA komp. B</t>
        </is>
      </c>
      <c r="C33" s="202" t="n">
        <v>9.6</v>
      </c>
      <c r="D33" s="40" t="n">
        <v>67</v>
      </c>
      <c r="E33" s="41">
        <f>D33*6</f>
        <v/>
      </c>
      <c r="F33" s="204">
        <f>C33*(0.55*(C9-D9)/D9*0.3+0.45*(C10-D10)/D10*0.3)*0.3</f>
        <v/>
      </c>
      <c r="G33" s="205">
        <f>C33*(0.55*(C9-D9)/D9*0.5+0.45*(C10-D10)/D10*0.5)*0.3</f>
        <v/>
      </c>
      <c r="H33" s="206">
        <f>C33*(0.55*(C9-D9)/D9*0.75+0.45*(C10-D10)/D10*0.75)*0.3</f>
        <v/>
      </c>
      <c r="I33" s="192">
        <f>H33/C33</f>
        <v/>
      </c>
      <c r="J33" s="196">
        <f>H33*E33</f>
        <v/>
      </c>
      <c r="K33" s="207" t="n">
        <v>0.1</v>
      </c>
      <c r="L33" s="196">
        <f>C33*K33*E33</f>
        <v/>
      </c>
      <c r="M33" s="47" t="inlineStr">
        <is>
          <t>✅ Potvrzeno</t>
        </is>
      </c>
      <c r="N33" s="175" t="inlineStr">
        <is>
          <t>1.4.2026</t>
        </is>
      </c>
    </row>
    <row r="34" ht="23.25" customHeight="1" s="170">
      <c r="B34" s="52" t="inlineStr">
        <is>
          <t>CELKEM</t>
        </is>
      </c>
      <c r="C34" s="27" t="n"/>
      <c r="D34" s="27" t="n"/>
      <c r="E34" s="27" t="n"/>
      <c r="F34" s="53" t="n"/>
      <c r="G34" s="54" t="n"/>
      <c r="H34" s="55" t="n"/>
      <c r="I34" s="55" t="n"/>
      <c r="J34" s="210">
        <f>SUM(J15:J33)</f>
        <v/>
      </c>
      <c r="K34" s="27" t="n"/>
      <c r="L34" s="211">
        <f>SUM(L15:L33)</f>
        <v/>
      </c>
      <c r="M34" s="27" t="n"/>
      <c r="N34" s="27" t="n"/>
    </row>
    <row r="35" ht="23.25" customHeight="1" s="170"/>
    <row r="36" ht="34.5" customHeight="1" s="170">
      <c r="B36" s="165" t="inlineStr">
        <is>
          <t>LEGENDA BAREVNÉHO KÓDOVÁNÍ:</t>
        </is>
      </c>
    </row>
    <row r="37" ht="23.25" customHeight="1" s="170">
      <c r="B37" s="58" t="inlineStr">
        <is>
          <t>■ Modré písmo + žluté pozadí = editovatelné vstupy (ceny, množství)</t>
        </is>
      </c>
    </row>
    <row r="38" ht="34.5" customHeight="1" s="170">
      <c r="B38" s="59" t="inlineStr">
        <is>
          <t>■ Černé písmo = vzorce / výpočty (neměnit)</t>
        </is>
      </c>
    </row>
    <row r="39" ht="23.25" customHeight="1" s="170">
      <c r="B39" s="60" t="inlineStr">
        <is>
          <t>■ Zelené písmo = odkazy na jiné listy</t>
        </is>
      </c>
    </row>
    <row r="40" ht="34.5" customHeight="1" s="170">
      <c r="B40" s="59" t="inlineStr">
        <is>
          <t>■ Modré pozadí = Mírný scénář | Oranžové = Střední | Červené = Krizový</t>
        </is>
      </c>
    </row>
  </sheetData>
  <pageMargins left="0.75" right="0.75" top="1" bottom="1" header="0.511811023622047" footer="0.511811023622047"/>
  <pageSetup orientation="portrait" paperSize="9" horizontalDpi="300" verticalDpi="300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tabColor rgb="FFCC6600"/>
    <outlinePr summaryBelow="1" summaryRight="1"/>
    <pageSetUpPr/>
  </sheetPr>
  <dimension ref="A1:H33"/>
  <sheetViews>
    <sheetView zoomScaleNormal="100" workbookViewId="0">
      <selection activeCell="C18" sqref="C18"/>
    </sheetView>
  </sheetViews>
  <sheetFormatPr baseColWidth="8" defaultColWidth="8.7109375" defaultRowHeight="15"/>
  <cols>
    <col width="3" customWidth="1" style="170" min="1" max="1"/>
    <col width="30" customWidth="1" style="170" min="2" max="2"/>
    <col width="18" customWidth="1" style="170" min="3" max="8"/>
  </cols>
  <sheetData>
    <row r="1"/>
    <row r="2" ht="36" customHeight="1" s="170">
      <c r="B2" s="2" t="inlineStr">
        <is>
          <t>VÝVOJ CEN ROPY A ZEMNÍHO PLYNU</t>
        </is>
      </c>
    </row>
    <row r="3" ht="36" customHeight="1" s="170">
      <c r="B3" s="162" t="inlineStr">
        <is>
          <t>Referenční benchmarky: Brent Crude Oil (USD/barel), TTF Natural Gas (EUR/MWh)</t>
        </is>
      </c>
    </row>
    <row r="4"/>
    <row r="5" ht="30" customHeight="1" s="170">
      <c r="B5" s="171" t="inlineStr">
        <is>
          <t>ROPA – BRENT CRUDE OIL (USD/barel)</t>
        </is>
      </c>
      <c r="C5" s="173" t="n"/>
      <c r="D5" s="173" t="n"/>
      <c r="E5" s="173" t="n"/>
      <c r="F5" s="173" t="n"/>
      <c r="G5" s="173" t="n"/>
      <c r="H5" s="173" t="n"/>
    </row>
    <row r="6" ht="15" customHeight="1" s="170">
      <c r="B6" s="7" t="inlineStr">
        <is>
          <t>Období</t>
        </is>
      </c>
      <c r="C6" s="7" t="inlineStr">
        <is>
          <t>Spot cena</t>
        </is>
      </c>
      <c r="D6" s="7" t="inlineStr">
        <is>
          <t>Změna vs. únor</t>
        </is>
      </c>
      <c r="E6" s="7" t="inlineStr">
        <is>
          <t>% změna</t>
        </is>
      </c>
      <c r="F6" s="7" t="inlineStr">
        <is>
          <t>Scénář MÍRNÝ</t>
        </is>
      </c>
      <c r="G6" s="7" t="inlineStr">
        <is>
          <t>Scénář STŘEDNÍ</t>
        </is>
      </c>
      <c r="H6" s="7" t="inlineStr">
        <is>
          <t>Scénář KRIZOVÝ</t>
        </is>
      </c>
    </row>
    <row r="7" ht="15" customHeight="1" s="170">
      <c r="B7" s="34" t="inlineStr">
        <is>
          <t>Únor 2026 (baseline)</t>
        </is>
      </c>
      <c r="C7" s="199" t="n">
        <v>71</v>
      </c>
      <c r="D7" s="27" t="inlineStr">
        <is>
          <t>-</t>
        </is>
      </c>
      <c r="E7" s="27" t="inlineStr">
        <is>
          <t>-</t>
        </is>
      </c>
      <c r="F7" s="27" t="inlineStr">
        <is>
          <t>-</t>
        </is>
      </c>
      <c r="G7" s="27" t="inlineStr">
        <is>
          <t>-</t>
        </is>
      </c>
      <c r="H7" s="27" t="inlineStr">
        <is>
          <t>-</t>
        </is>
      </c>
    </row>
    <row r="8" ht="15" customHeight="1" s="170">
      <c r="B8" s="163" t="inlineStr">
        <is>
          <t>Březen 2026 (aktuální)</t>
        </is>
      </c>
      <c r="C8" s="199" t="n">
        <v>99.92</v>
      </c>
      <c r="D8" s="212">
        <f>C8-C7</f>
        <v/>
      </c>
      <c r="E8" s="213">
        <f>(C8-C7)/C7</f>
        <v/>
      </c>
      <c r="F8" s="157" t="inlineStr">
        <is>
          <t>-</t>
        </is>
      </c>
      <c r="G8" s="157" t="inlineStr">
        <is>
          <t>-</t>
        </is>
      </c>
      <c r="H8" s="157" t="inlineStr">
        <is>
          <t>-</t>
        </is>
      </c>
    </row>
    <row r="9" ht="15" customHeight="1" s="170">
      <c r="B9" s="163" t="inlineStr">
        <is>
          <t>Duben 2026 (predikce)</t>
        </is>
      </c>
      <c r="C9" s="157" t="inlineStr">
        <is>
          <t>-</t>
        </is>
      </c>
      <c r="D9" s="157" t="inlineStr">
        <is>
          <t>-</t>
        </is>
      </c>
      <c r="E9" s="157" t="inlineStr">
        <is>
          <t>-</t>
        </is>
      </c>
      <c r="F9" s="214" t="n">
        <v>95</v>
      </c>
      <c r="G9" s="215" t="n">
        <v>115</v>
      </c>
      <c r="H9" s="216" t="n">
        <v>130</v>
      </c>
    </row>
    <row r="10" ht="15" customHeight="1" s="170">
      <c r="B10" s="163" t="inlineStr">
        <is>
          <t>Květen 2026 (predikce)</t>
        </is>
      </c>
      <c r="C10" s="157" t="inlineStr">
        <is>
          <t>-</t>
        </is>
      </c>
      <c r="D10" s="157" t="inlineStr">
        <is>
          <t>-</t>
        </is>
      </c>
      <c r="E10" s="157" t="inlineStr">
        <is>
          <t>-</t>
        </is>
      </c>
      <c r="F10" s="214" t="n">
        <v>90</v>
      </c>
      <c r="G10" s="215" t="n">
        <v>120</v>
      </c>
      <c r="H10" s="216" t="n">
        <v>140</v>
      </c>
    </row>
    <row r="11" ht="15" customHeight="1" s="170">
      <c r="B11" s="163" t="inlineStr">
        <is>
          <t>Červen 2026 (predikce)</t>
        </is>
      </c>
      <c r="C11" s="157" t="inlineStr">
        <is>
          <t>-</t>
        </is>
      </c>
      <c r="D11" s="157" t="inlineStr">
        <is>
          <t>-</t>
        </is>
      </c>
      <c r="E11" s="157" t="inlineStr">
        <is>
          <t>-</t>
        </is>
      </c>
      <c r="F11" s="214" t="n">
        <v>85</v>
      </c>
      <c r="G11" s="215" t="n">
        <v>125</v>
      </c>
      <c r="H11" s="216" t="n">
        <v>150</v>
      </c>
    </row>
    <row r="12"/>
    <row r="13"/>
    <row r="14" ht="30" customHeight="1" s="170">
      <c r="B14" s="171" t="inlineStr">
        <is>
          <t>ZEMNÍ PLYN – TTF (EUR/MWh)</t>
        </is>
      </c>
      <c r="C14" s="173" t="n"/>
      <c r="D14" s="173" t="n"/>
      <c r="E14" s="173" t="n"/>
      <c r="F14" s="173" t="n"/>
      <c r="G14" s="173" t="n"/>
      <c r="H14" s="173" t="n"/>
    </row>
    <row r="15" ht="15" customHeight="1" s="170">
      <c r="B15" s="7" t="inlineStr">
        <is>
          <t>Období</t>
        </is>
      </c>
      <c r="C15" s="7" t="inlineStr">
        <is>
          <t>Spot cena</t>
        </is>
      </c>
      <c r="D15" s="7" t="inlineStr">
        <is>
          <t>Změna vs. únor</t>
        </is>
      </c>
      <c r="E15" s="7" t="inlineStr">
        <is>
          <t>% změna</t>
        </is>
      </c>
      <c r="F15" s="7" t="inlineStr">
        <is>
          <t>Scénář MÍRNÝ</t>
        </is>
      </c>
      <c r="G15" s="7" t="inlineStr">
        <is>
          <t>Scénář STŘEDNÍ</t>
        </is>
      </c>
      <c r="H15" s="7" t="inlineStr">
        <is>
          <t>Scénář KRIZOVÝ</t>
        </is>
      </c>
    </row>
    <row r="16" ht="15" customHeight="1" s="170">
      <c r="B16" s="34" t="inlineStr">
        <is>
          <t>Únor 2026 (baseline)</t>
        </is>
      </c>
      <c r="C16" s="202" t="n">
        <v>32</v>
      </c>
      <c r="D16" s="27" t="inlineStr">
        <is>
          <t>-</t>
        </is>
      </c>
      <c r="E16" s="27" t="inlineStr">
        <is>
          <t>-</t>
        </is>
      </c>
      <c r="F16" s="27" t="inlineStr">
        <is>
          <t>-</t>
        </is>
      </c>
      <c r="G16" s="27" t="inlineStr">
        <is>
          <t>-</t>
        </is>
      </c>
      <c r="H16" s="27" t="inlineStr">
        <is>
          <t>-</t>
        </is>
      </c>
    </row>
    <row r="17" ht="15" customHeight="1" s="170">
      <c r="B17" s="163" t="inlineStr">
        <is>
          <t>Březen 2026 (aktuální)</t>
        </is>
      </c>
      <c r="C17" s="202" t="n">
        <v>54.04</v>
      </c>
      <c r="D17" s="194">
        <f>C17-C16</f>
        <v/>
      </c>
      <c r="E17" s="213">
        <f>(C17-C16)/C16</f>
        <v/>
      </c>
      <c r="F17" s="157" t="inlineStr">
        <is>
          <t>-</t>
        </is>
      </c>
      <c r="G17" s="157" t="inlineStr">
        <is>
          <t>-</t>
        </is>
      </c>
      <c r="H17" s="157" t="inlineStr">
        <is>
          <t>-</t>
        </is>
      </c>
    </row>
    <row r="18" ht="15" customHeight="1" s="170">
      <c r="B18" s="163" t="inlineStr">
        <is>
          <t>Duben 2026 (predikce)</t>
        </is>
      </c>
      <c r="C18" s="157" t="inlineStr">
        <is>
          <t>-</t>
        </is>
      </c>
      <c r="D18" s="157" t="inlineStr">
        <is>
          <t>-</t>
        </is>
      </c>
      <c r="E18" s="157" t="inlineStr">
        <is>
          <t>-</t>
        </is>
      </c>
      <c r="F18" s="217" t="n">
        <v>42</v>
      </c>
      <c r="G18" s="218" t="n">
        <v>52</v>
      </c>
      <c r="H18" s="219" t="n">
        <v>65</v>
      </c>
    </row>
    <row r="19" ht="15" customHeight="1" s="170">
      <c r="B19" s="163" t="inlineStr">
        <is>
          <t>Květen 2026 (predikce)</t>
        </is>
      </c>
      <c r="C19" s="157" t="inlineStr">
        <is>
          <t>-</t>
        </is>
      </c>
      <c r="D19" s="157" t="inlineStr">
        <is>
          <t>-</t>
        </is>
      </c>
      <c r="E19" s="157" t="inlineStr">
        <is>
          <t>-</t>
        </is>
      </c>
      <c r="F19" s="217" t="n">
        <v>38</v>
      </c>
      <c r="G19" s="218" t="n">
        <v>55</v>
      </c>
      <c r="H19" s="219" t="n">
        <v>75</v>
      </c>
    </row>
    <row r="20" ht="15" customHeight="1" s="170">
      <c r="B20" s="163" t="inlineStr">
        <is>
          <t>Červen 2026 (predikce)</t>
        </is>
      </c>
      <c r="C20" s="157" t="inlineStr">
        <is>
          <t>-</t>
        </is>
      </c>
      <c r="D20" s="157" t="inlineStr">
        <is>
          <t>-</t>
        </is>
      </c>
      <c r="E20" s="157" t="inlineStr">
        <is>
          <t>-</t>
        </is>
      </c>
      <c r="F20" s="217" t="n">
        <v>35</v>
      </c>
      <c r="G20" s="218" t="n">
        <v>58</v>
      </c>
      <c r="H20" s="219" t="n">
        <v>85</v>
      </c>
    </row>
    <row r="21"/>
    <row r="22"/>
    <row r="23" ht="15" customHeight="1" s="170">
      <c r="B23" s="171" t="inlineStr">
        <is>
          <t>POPIS SCÉNÁŘŮ:</t>
        </is>
      </c>
      <c r="C23" s="173" t="n"/>
      <c r="D23" s="173" t="n"/>
      <c r="E23" s="173" t="n"/>
      <c r="F23" s="173" t="n"/>
      <c r="G23" s="173" t="n"/>
      <c r="H23" s="173" t="n"/>
    </row>
    <row r="24" ht="15" customHeight="1" s="170">
      <c r="B24" s="69" t="inlineStr">
        <is>
          <t>MÍRNÝ</t>
        </is>
      </c>
      <c r="C24" s="163" t="inlineStr">
        <is>
          <t>Hormuzský průliv se částečně otevře, napětí se zmírní. Ceny klesnou k úrovním z počátku března.</t>
        </is>
      </c>
      <c r="D24" s="138" t="n"/>
      <c r="E24" s="138" t="n"/>
      <c r="F24" s="138" t="n"/>
      <c r="G24" s="138" t="n"/>
      <c r="H24" s="142" t="n"/>
    </row>
    <row r="25" ht="15" customHeight="1" s="170">
      <c r="B25" s="70" t="inlineStr">
        <is>
          <t>STŘEDNÍ</t>
        </is>
      </c>
      <c r="C25" s="163" t="inlineStr">
        <is>
          <t>Konflikt pokračuje ve stávající intenzitě. Ceny zůstávají na aktuálních úrovních nebo mírně rostou.</t>
        </is>
      </c>
      <c r="D25" s="138" t="n"/>
      <c r="E25" s="138" t="n"/>
      <c r="F25" s="138" t="n"/>
      <c r="G25" s="138" t="n"/>
      <c r="H25" s="142" t="n"/>
    </row>
    <row r="26" ht="15" customHeight="1" s="170">
      <c r="B26" s="71" t="inlineStr">
        <is>
          <t>KRIZOVÝ</t>
        </is>
      </c>
      <c r="C26" s="163" t="inlineStr">
        <is>
          <t>Eskalace konfliktu, dlouhodobé uzavření Hormuzského průlivu. Ceny výrazně rostou (Brent &gt;$130, TTF &gt;€65).</t>
        </is>
      </c>
      <c r="D26" s="138" t="n"/>
      <c r="E26" s="138" t="n"/>
      <c r="F26" s="138" t="n"/>
      <c r="G26" s="138" t="n"/>
      <c r="H26" s="142" t="n"/>
    </row>
    <row r="27"/>
    <row r="28" ht="15" customHeight="1" s="170">
      <c r="B28" s="165" t="inlineStr">
        <is>
          <t>DISCLAIMER:</t>
        </is>
      </c>
    </row>
    <row r="29" ht="15" customHeight="1" s="170">
      <c r="B29" s="162" t="inlineStr">
        <is>
          <t>• Predikce cen vychází ze spotových (aktuálních tržních) cen komodit.</t>
        </is>
      </c>
    </row>
    <row r="30" ht="15" customHeight="1" s="170">
      <c r="B30" s="162" t="inlineStr">
        <is>
          <t>• Nevíme, v jaké výši mají jednotliví dodavatelé ropu a zemní plyn smluvně zafixované (hedging).</t>
        </is>
      </c>
    </row>
    <row r="31" ht="15" customHeight="1" s="170">
      <c r="B31" s="162" t="inlineStr">
        <is>
          <t>• Skutečný dopad na nákupní ceny závisí na: délce kontraktů, hedgingové strategii dodavatele, podílu energií na celkových nákladech.</t>
        </is>
      </c>
    </row>
    <row r="32" ht="15" customHeight="1" s="170">
      <c r="B32" s="162" t="inlineStr">
        <is>
          <t>• Tento model slouží jako analytický nástroj pro interní potřeby – nikoliv jako závazná prognóza.</t>
        </is>
      </c>
    </row>
    <row r="33" ht="15" customHeight="1" s="170">
      <c r="B33" s="162" t="inlineStr">
        <is>
          <t>• Zdroje dat: EIA Short-Term Energy Outlook (březen 2026), ICE Futures (TTF), Fortune/Investing.com (Brent spot).</t>
        </is>
      </c>
    </row>
  </sheetData>
  <mergeCells count="8">
    <mergeCell ref="C25:H25"/>
    <mergeCell ref="B32:H32"/>
    <mergeCell ref="C24:H24"/>
    <mergeCell ref="B30:H30"/>
    <mergeCell ref="B29:H29"/>
    <mergeCell ref="B33:H33"/>
    <mergeCell ref="C26:H26"/>
    <mergeCell ref="B31:H31"/>
  </mergeCells>
  <pageMargins left="0.75" right="0.75" top="1" bottom="1" header="0.511811023622047" footer="0.511811023622047"/>
  <pageSetup orientation="portrait" paperSize="9" horizontalDpi="300" verticalDpi="300"/>
</worksheet>
</file>

<file path=xl/worksheets/sheet4.xml><?xml version="1.0" encoding="utf-8"?>
<worksheet xmlns="http://schemas.openxmlformats.org/spreadsheetml/2006/main">
  <sheetPr>
    <tabColor rgb="FFFF6F00"/>
    <outlinePr summaryBelow="1" summaryRight="1"/>
    <pageSetUpPr/>
  </sheetPr>
  <dimension ref="A1:F28"/>
  <sheetViews>
    <sheetView zoomScaleNormal="100" workbookViewId="0">
      <selection activeCell="A1" sqref="A1"/>
    </sheetView>
  </sheetViews>
  <sheetFormatPr baseColWidth="8" defaultColWidth="8.7109375" defaultRowHeight="15"/>
  <cols>
    <col width="3" customWidth="1" style="170" min="1" max="1"/>
    <col width="35" customWidth="1" style="170" min="2" max="2"/>
    <col width="18" customWidth="1" style="170" min="3" max="7"/>
  </cols>
  <sheetData>
    <row r="1"/>
    <row r="2" ht="36" customHeight="1" s="170">
      <c r="B2" s="2" t="inlineStr">
        <is>
          <t>KURZOVÝ MODUL EUR/USD</t>
        </is>
      </c>
    </row>
    <row r="3" ht="24" customHeight="1" s="170">
      <c r="B3" s="162" t="inlineStr">
        <is>
          <t>Ropa se obchoduje v USD – kurzový vývoj ovlivňuje reálný dopad na EUR ceny</t>
        </is>
      </c>
    </row>
    <row r="4"/>
    <row r="5" ht="15" customHeight="1" s="170">
      <c r="B5" s="171" t="inlineStr">
        <is>
          <t>VSTUPY</t>
        </is>
      </c>
      <c r="C5" s="173" t="n"/>
      <c r="D5" s="173" t="n"/>
      <c r="E5" s="173" t="n"/>
      <c r="F5" s="173" t="n"/>
    </row>
    <row r="6" ht="15" customHeight="1" s="170">
      <c r="B6" s="34" t="inlineStr">
        <is>
          <t>Aktuální kurz EUR/USD</t>
        </is>
      </c>
      <c r="C6" s="72" t="n">
        <v>1.085</v>
      </c>
      <c r="D6" s="162" t="inlineStr">
        <is>
          <t>(1 EUR = X USD)</t>
        </is>
      </c>
    </row>
    <row r="7" ht="15" customHeight="1" s="170">
      <c r="B7" s="34" t="inlineStr">
        <is>
          <t>Kurz EUR/USD před 1 měsícem</t>
        </is>
      </c>
      <c r="C7" s="72" t="n">
        <v>1.045</v>
      </c>
      <c r="D7" s="162" t="inlineStr">
        <is>
          <t>(únor 2026)</t>
        </is>
      </c>
    </row>
    <row r="8" ht="48" customHeight="1" s="170">
      <c r="B8" s="26" t="inlineStr">
        <is>
          <t>Změna kurzu EUR/USD</t>
        </is>
      </c>
      <c r="C8" s="220">
        <f>(C6-C7)/C7</f>
        <v/>
      </c>
      <c r="D8" s="162" t="inlineStr">
        <is>
          <t>Kladná = EUR posílilo (příznivé), Záporná = EUR oslabilo (nepříznivé)</t>
        </is>
      </c>
    </row>
    <row r="9"/>
    <row r="10" ht="30" customHeight="1" s="170">
      <c r="B10" s="171" t="inlineStr">
        <is>
          <t>SCÉNÁŘE KURZU EUR/USD (na příští 3 měsíce)</t>
        </is>
      </c>
      <c r="C10" s="173" t="n"/>
      <c r="D10" s="173" t="n"/>
      <c r="E10" s="173" t="n"/>
      <c r="F10" s="173" t="n"/>
    </row>
    <row r="11" ht="25.5" customHeight="1" s="170">
      <c r="B11" s="7" t="inlineStr">
        <is>
          <t>Scénář</t>
        </is>
      </c>
      <c r="C11" s="7" t="inlineStr">
        <is>
          <t>Kurz EUR/USD</t>
        </is>
      </c>
      <c r="D11" s="7" t="inlineStr">
        <is>
          <t>Změna vs. aktuální</t>
        </is>
      </c>
      <c r="E11" s="7" t="inlineStr">
        <is>
          <t>Efekt na cenu
ropy v EUR</t>
        </is>
      </c>
      <c r="F11" s="7" t="inlineStr">
        <is>
          <t>Komentář</t>
        </is>
      </c>
    </row>
    <row r="12" ht="36" customHeight="1" s="170">
      <c r="B12" s="74" t="inlineStr">
        <is>
          <t>EUR posiluje</t>
        </is>
      </c>
      <c r="C12" s="75" t="n">
        <v>1.12</v>
      </c>
      <c r="D12" s="221">
        <f>(C12-$C$6)/$C$6</f>
        <v/>
      </c>
      <c r="E12" s="221">
        <f>-(C12-$C$6)/$C$6</f>
        <v/>
      </c>
      <c r="F12" s="77" t="inlineStr">
        <is>
          <t>Příznivý – zmírňuje dopad ropy na EUR ceny</t>
        </is>
      </c>
    </row>
    <row r="13" ht="24" customHeight="1" s="170">
      <c r="B13" s="34" t="inlineStr">
        <is>
          <t>Stabilní</t>
        </is>
      </c>
      <c r="C13" s="75" t="n">
        <v>1.085</v>
      </c>
      <c r="D13" s="220">
        <f>(C13-$C$6)/$C$6</f>
        <v/>
      </c>
      <c r="E13" s="220">
        <f>-(C13-$C$6)/$C$6</f>
        <v/>
      </c>
      <c r="F13" s="78" t="inlineStr">
        <is>
          <t>Neutrální – kurz se nemění</t>
        </is>
      </c>
    </row>
    <row r="14" ht="36" customHeight="1" s="170">
      <c r="B14" s="79" t="inlineStr">
        <is>
          <t>EUR oslabuje</t>
        </is>
      </c>
      <c r="C14" s="75" t="n">
        <v>1.05</v>
      </c>
      <c r="D14" s="187">
        <f>(C14-$C$6)/$C$6</f>
        <v/>
      </c>
      <c r="E14" s="187">
        <f>-(C14-$C$6)/$C$6</f>
        <v/>
      </c>
      <c r="F14" s="80" t="inlineStr">
        <is>
          <t>Nepříznivý – zdražuje ropu v EUR o cca 3-4 % navíc</t>
        </is>
      </c>
    </row>
    <row r="15" ht="48" customHeight="1" s="170">
      <c r="B15" s="81" t="inlineStr">
        <is>
          <t>EUR výrazně oslabuje</t>
        </is>
      </c>
      <c r="C15" s="75" t="n">
        <v>1</v>
      </c>
      <c r="D15" s="190">
        <f>(C15-$C$6)/$C$6</f>
        <v/>
      </c>
      <c r="E15" s="190">
        <f>-(C15-$C$6)/$C$6</f>
        <v/>
      </c>
      <c r="F15" s="82" t="inlineStr">
        <is>
          <t>Velmi nepříznivý – dolar na paritě, výrazné zdražení ropy v EUR</t>
        </is>
      </c>
    </row>
    <row r="16"/>
    <row r="17"/>
    <row r="18" ht="30" customHeight="1" s="170">
      <c r="B18" s="171" t="inlineStr">
        <is>
          <t>DOPAD KURZU NA CENU ROPY V EUR</t>
        </is>
      </c>
      <c r="C18" s="173" t="n"/>
      <c r="D18" s="173" t="n"/>
      <c r="E18" s="173" t="n"/>
      <c r="F18" s="173" t="n"/>
    </row>
    <row r="19" ht="25.5" customHeight="1" s="170">
      <c r="B19" s="7" t="n"/>
      <c r="C19" s="7" t="inlineStr">
        <is>
          <t>Brent USD</t>
        </is>
      </c>
      <c r="D19" s="7" t="inlineStr">
        <is>
          <t>Kurz EUR/USD</t>
        </is>
      </c>
      <c r="E19" s="7" t="inlineStr">
        <is>
          <t>Brent v EUR</t>
        </is>
      </c>
      <c r="F19" s="7" t="inlineStr">
        <is>
          <t>Změna vs. baseline</t>
        </is>
      </c>
    </row>
    <row r="20" ht="15" customHeight="1" s="170">
      <c r="B20" s="34" t="inlineStr">
        <is>
          <t>Baseline (únor)</t>
        </is>
      </c>
      <c r="C20" s="222">
        <f>Ropa_a_plyn!C7</f>
        <v/>
      </c>
      <c r="D20" s="84">
        <f>C7</f>
        <v/>
      </c>
      <c r="E20" s="203">
        <f>C20/D20</f>
        <v/>
      </c>
      <c r="F20" s="27" t="inlineStr">
        <is>
          <t>-</t>
        </is>
      </c>
    </row>
    <row r="21" ht="15" customHeight="1" s="170">
      <c r="B21" s="85" t="inlineStr">
        <is>
          <t>Aktuální</t>
        </is>
      </c>
      <c r="C21" s="223">
        <f>Ropa_a_plyn!C8</f>
        <v/>
      </c>
      <c r="D21" s="87">
        <f>C6</f>
        <v/>
      </c>
      <c r="E21" s="224">
        <f>C21/D21</f>
        <v/>
      </c>
      <c r="F21" s="225">
        <f>(E21-E20)/E20</f>
        <v/>
      </c>
    </row>
    <row r="22"/>
    <row r="23"/>
    <row r="24" ht="15" customHeight="1" s="170">
      <c r="B24" s="165" t="inlineStr">
        <is>
          <t>INTERPRETACE:</t>
        </is>
      </c>
    </row>
    <row r="25" ht="30" customHeight="1" s="170">
      <c r="B25" s="164" t="inlineStr">
        <is>
          <t>Ropa se obchoduje v USD. Pokud EUR vůči dolaru oslabí, cena ropy přepočtená do EUR vzroste více, než by odpovídalo samotnému zdražení ropy.</t>
        </is>
      </c>
    </row>
    <row r="26" ht="30" customHeight="1" s="170">
      <c r="B26" s="164" t="inlineStr">
        <is>
          <t>Příklad: Brent vzrostl z $71 na $114 (+60 %). Ale pokud současně EUR oslabilo z 1,045 na 1,00 EUR/USD, pak v eurech ropa zdražila z €68 na €114 (+68 %).</t>
        </is>
      </c>
    </row>
    <row r="27" ht="30" customHeight="1" s="170">
      <c r="B27" s="164" t="inlineStr">
        <is>
          <t>Tento modul umožňuje modelovat kurzové scénáře. Pro přesný výpočet dopadu na materiály by bylo nutné znát, zda dodavatel nakupuje energie v EUR nebo USD.</t>
        </is>
      </c>
    </row>
    <row r="28" ht="30" customHeight="1" s="170">
      <c r="B28" s="164" t="inlineStr">
        <is>
          <t>Většina evropských dodavatelů nakupuje plyn v EUR (TTF), ale ropné deriváty mohou být vázány na USD ceny.</t>
        </is>
      </c>
    </row>
  </sheetData>
  <mergeCells count="4">
    <mergeCell ref="B26:F26"/>
    <mergeCell ref="B25:F25"/>
    <mergeCell ref="B27:F27"/>
    <mergeCell ref="B28:F28"/>
  </mergeCells>
  <pageMargins left="0.75" right="0.75" top="1" bottom="1" header="0.511811023622047" footer="0.511811023622047"/>
  <pageSetup orientation="portrait" paperSize="9" horizontalDpi="300" verticalDpi="300"/>
</worksheet>
</file>

<file path=xl/worksheets/sheet5.xml><?xml version="1.0" encoding="utf-8"?>
<worksheet xmlns="http://schemas.openxmlformats.org/spreadsheetml/2006/main">
  <sheetPr>
    <tabColor rgb="FF7B1FA2"/>
    <outlinePr summaryBelow="1" summaryRight="1"/>
    <pageSetUpPr/>
  </sheetPr>
  <dimension ref="A1:H33"/>
  <sheetViews>
    <sheetView topLeftCell="A3" zoomScaleNormal="100" workbookViewId="0">
      <selection activeCell="A21" sqref="A21"/>
    </sheetView>
  </sheetViews>
  <sheetFormatPr baseColWidth="8" defaultColWidth="8.7109375" defaultRowHeight="15"/>
  <cols>
    <col width="3" customWidth="1" style="170" min="1" max="1"/>
    <col width="28" customWidth="1" style="170" min="2" max="2"/>
    <col width="16" customWidth="1" style="170" min="3" max="7"/>
    <col width="9.140625" customWidth="1" style="170" min="8" max="8"/>
    <col width="28" customWidth="1" style="170" min="9" max="9"/>
    <col width="16" customWidth="1" style="170" min="10" max="14"/>
  </cols>
  <sheetData>
    <row r="1"/>
    <row r="2" ht="54" customHeight="1" s="170">
      <c r="B2" s="2" t="inlineStr">
        <is>
          <t>CITLIVOSTNÍ ANALÝZA (SENSITIVITY)</t>
        </is>
      </c>
    </row>
    <row r="3" ht="48" customHeight="1" s="170">
      <c r="B3" s="162" t="inlineStr">
        <is>
          <t>Celkový 6M finanční dopad v EUR v závislosti na cenách ropy a plynu (krizový scénář, 75% pass-through)</t>
        </is>
      </c>
    </row>
    <row r="4"/>
    <row r="5" ht="45" customHeight="1" s="170">
      <c r="B5" s="171" t="inlineStr">
        <is>
          <t>MATICE: Celkový dopad 6M (EUR) – všechny materiály</t>
        </is>
      </c>
      <c r="C5" s="173" t="n"/>
      <c r="D5" s="173" t="n"/>
      <c r="E5" s="173" t="n"/>
      <c r="F5" s="173" t="n"/>
      <c r="G5" s="173" t="n"/>
      <c r="H5" s="173" t="n"/>
    </row>
    <row r="6" ht="15" customHeight="1" s="170">
      <c r="B6" s="7" t="inlineStr">
        <is>
          <t>Brent ↓ / TTF →</t>
        </is>
      </c>
      <c r="C6" s="7" t="inlineStr">
        <is>
          <t>€35/MWh</t>
        </is>
      </c>
      <c r="D6" s="7" t="inlineStr">
        <is>
          <t>€45/MWh</t>
        </is>
      </c>
      <c r="E6" s="7" t="inlineStr">
        <is>
          <t>€55/MWh</t>
        </is>
      </c>
      <c r="F6" s="7" t="inlineStr">
        <is>
          <t>€65/MWh</t>
        </is>
      </c>
      <c r="G6" s="7" t="inlineStr">
        <is>
          <t>€75/MWh</t>
        </is>
      </c>
      <c r="H6" s="7" t="inlineStr">
        <is>
          <t>€85/MWh</t>
        </is>
      </c>
    </row>
    <row r="7" ht="15" customHeight="1" s="170">
      <c r="B7" s="90" t="inlineStr">
        <is>
          <t>$80/bbl</t>
        </is>
      </c>
      <c r="C7" s="226" t="n">
        <v>21462</v>
      </c>
      <c r="D7" s="227" t="n">
        <v>75766</v>
      </c>
      <c r="E7" s="228" t="n">
        <v>130069</v>
      </c>
      <c r="F7" s="228" t="n">
        <v>184373</v>
      </c>
      <c r="G7" s="228" t="n">
        <v>238676</v>
      </c>
      <c r="H7" s="228" t="n">
        <v>292980</v>
      </c>
    </row>
    <row r="8" ht="15" customHeight="1" s="170">
      <c r="B8" s="90" t="inlineStr">
        <is>
          <t>$95/bbl</t>
        </is>
      </c>
      <c r="C8" s="226" t="n">
        <v>30081</v>
      </c>
      <c r="D8" s="228" t="n">
        <v>84385</v>
      </c>
      <c r="E8" s="228" t="n">
        <v>138688</v>
      </c>
      <c r="F8" s="228" t="n">
        <v>192992</v>
      </c>
      <c r="G8" s="228" t="n">
        <v>247295</v>
      </c>
      <c r="H8" s="228" t="n">
        <v>301598</v>
      </c>
    </row>
    <row r="9" ht="15" customHeight="1" s="170">
      <c r="B9" s="90" t="inlineStr">
        <is>
          <t>$110/bbl</t>
        </is>
      </c>
      <c r="C9" s="226" t="n">
        <v>38700</v>
      </c>
      <c r="D9" s="228" t="n">
        <v>93004</v>
      </c>
      <c r="E9" s="228" t="n">
        <v>147307</v>
      </c>
      <c r="F9" s="228" t="n">
        <v>201610</v>
      </c>
      <c r="G9" s="228" t="n">
        <v>255914</v>
      </c>
      <c r="H9" s="228" t="n">
        <v>310217</v>
      </c>
    </row>
    <row r="10" ht="15" customHeight="1" s="170">
      <c r="B10" s="90" t="inlineStr">
        <is>
          <t>$125/bbl</t>
        </is>
      </c>
      <c r="C10" s="226" t="n">
        <v>47319</v>
      </c>
      <c r="D10" s="228" t="n">
        <v>101622</v>
      </c>
      <c r="E10" s="228" t="n">
        <v>155926</v>
      </c>
      <c r="F10" s="228" t="n">
        <v>210229</v>
      </c>
      <c r="G10" s="228" t="n">
        <v>264533</v>
      </c>
      <c r="H10" s="228" t="n">
        <v>318836</v>
      </c>
    </row>
    <row r="11" ht="15" customHeight="1" s="170">
      <c r="B11" s="90" t="inlineStr">
        <is>
          <t>$140/bbl</t>
        </is>
      </c>
      <c r="C11" s="227" t="n">
        <v>55938</v>
      </c>
      <c r="D11" s="228" t="n">
        <v>110241</v>
      </c>
      <c r="E11" s="228" t="n">
        <v>164545</v>
      </c>
      <c r="F11" s="228" t="n">
        <v>218848</v>
      </c>
      <c r="G11" s="228" t="n">
        <v>273152</v>
      </c>
      <c r="H11" s="228" t="n">
        <v>327455</v>
      </c>
    </row>
    <row r="12" ht="15" customHeight="1" s="170">
      <c r="B12" s="90" t="inlineStr">
        <is>
          <t>$155/bbl</t>
        </is>
      </c>
      <c r="C12" s="227" t="n">
        <v>64557</v>
      </c>
      <c r="D12" s="228" t="n">
        <v>118860</v>
      </c>
      <c r="E12" s="228" t="n">
        <v>173164</v>
      </c>
      <c r="F12" s="228" t="n">
        <v>227467</v>
      </c>
      <c r="G12" s="228" t="n">
        <v>281770</v>
      </c>
      <c r="H12" s="228" t="n">
        <v>336074</v>
      </c>
    </row>
    <row r="13"/>
    <row r="14" ht="15" customHeight="1" s="170">
      <c r="B14" s="165" t="inlineStr">
        <is>
          <t>★ Aktuální situace: Brent ~$114, TTF ~€50 → nejblíže buňce $110/€55</t>
        </is>
      </c>
    </row>
    <row r="15"/>
    <row r="16"/>
    <row r="17" ht="45" customHeight="1" s="170">
      <c r="B17" s="171" t="inlineStr">
        <is>
          <t>MATICE: Průměrný % dopad na jednotkovou cenu</t>
        </is>
      </c>
      <c r="C17" s="173" t="n"/>
      <c r="D17" s="173" t="n"/>
      <c r="E17" s="173" t="n"/>
      <c r="F17" s="173" t="n"/>
      <c r="G17" s="173" t="n"/>
      <c r="H17" s="173" t="n"/>
    </row>
    <row r="18" ht="15" customHeight="1" s="170">
      <c r="B18" s="7" t="inlineStr">
        <is>
          <t>Brent ↓ / TTF →</t>
        </is>
      </c>
      <c r="C18" s="7" t="inlineStr">
        <is>
          <t>€35/MWh</t>
        </is>
      </c>
      <c r="D18" s="7" t="inlineStr">
        <is>
          <t>€45/MWh</t>
        </is>
      </c>
      <c r="E18" s="7" t="inlineStr">
        <is>
          <t>€55/MWh</t>
        </is>
      </c>
      <c r="F18" s="7" t="inlineStr">
        <is>
          <t>€65/MWh</t>
        </is>
      </c>
      <c r="G18" s="7" t="inlineStr">
        <is>
          <t>€75/MWh</t>
        </is>
      </c>
      <c r="H18" s="7" t="inlineStr">
        <is>
          <t>€85/MWh</t>
        </is>
      </c>
    </row>
    <row r="19" ht="15" customHeight="1" s="170">
      <c r="B19" s="90" t="inlineStr">
        <is>
          <t>$80/bbl</t>
        </is>
      </c>
      <c r="C19" s="229" t="n">
        <v>0.0322135632640571</v>
      </c>
      <c r="D19" s="230" t="n">
        <v>0.113719431398412</v>
      </c>
      <c r="E19" s="231" t="n">
        <v>0.195225299532766</v>
      </c>
      <c r="F19" s="231" t="n">
        <v>0.276731167667121</v>
      </c>
      <c r="G19" s="231" t="n">
        <v>0.358237035801475</v>
      </c>
      <c r="H19" s="231" t="n">
        <v>0.43974290393583</v>
      </c>
    </row>
    <row r="20" ht="15" customHeight="1" s="170">
      <c r="B20" s="90" t="inlineStr">
        <is>
          <t>$95/bbl</t>
        </is>
      </c>
      <c r="C20" s="229" t="n">
        <v>0.0451499013036417</v>
      </c>
      <c r="D20" s="230" t="n">
        <v>0.126655769437996</v>
      </c>
      <c r="E20" s="231" t="n">
        <v>0.208161637572351</v>
      </c>
      <c r="F20" s="231" t="n">
        <v>0.289667505706705</v>
      </c>
      <c r="G20" s="231" t="n">
        <v>0.37117337384106</v>
      </c>
      <c r="H20" s="231" t="n">
        <v>0.452679241975414</v>
      </c>
    </row>
    <row r="21" ht="15" customHeight="1" s="170">
      <c r="B21" s="90" t="inlineStr">
        <is>
          <t>$110/bbl</t>
        </is>
      </c>
      <c r="C21" s="232" t="n">
        <v>0.0580862393432262</v>
      </c>
      <c r="D21" s="230" t="n">
        <v>0.139592107477581</v>
      </c>
      <c r="E21" s="231" t="n">
        <v>0.221097975611935</v>
      </c>
      <c r="F21" s="231" t="n">
        <v>0.30260384374629</v>
      </c>
      <c r="G21" s="231" t="n">
        <v>0.384109711880645</v>
      </c>
      <c r="H21" s="231" t="n">
        <v>0.465615580014999</v>
      </c>
    </row>
    <row r="22" ht="15" customHeight="1" s="170">
      <c r="B22" s="90" t="inlineStr">
        <is>
          <t>$125/bbl</t>
        </is>
      </c>
      <c r="C22" s="232" t="n">
        <v>0.0710225773828108</v>
      </c>
      <c r="D22" s="231" t="n">
        <v>0.152528445517165</v>
      </c>
      <c r="E22" s="231" t="n">
        <v>0.23403431365152</v>
      </c>
      <c r="F22" s="231" t="n">
        <v>0.315540181785875</v>
      </c>
      <c r="G22" s="231" t="n">
        <v>0.397046049920229</v>
      </c>
      <c r="H22" s="231" t="n">
        <v>0.478551918054584</v>
      </c>
    </row>
    <row r="23" ht="15" customHeight="1" s="170">
      <c r="B23" s="90" t="inlineStr">
        <is>
          <t>$140/bbl</t>
        </is>
      </c>
      <c r="C23" s="232" t="n">
        <v>0.08395891542239541</v>
      </c>
      <c r="D23" s="231" t="n">
        <v>0.16546478355675</v>
      </c>
      <c r="E23" s="231" t="n">
        <v>0.246970651691105</v>
      </c>
      <c r="F23" s="231" t="n">
        <v>0.328476519825459</v>
      </c>
      <c r="G23" s="231" t="n">
        <v>0.409982387959814</v>
      </c>
      <c r="H23" s="231" t="n">
        <v>0.491488256094168</v>
      </c>
    </row>
    <row r="24" ht="15" customHeight="1" s="170">
      <c r="B24" s="90" t="inlineStr">
        <is>
          <t>$155/bbl</t>
        </is>
      </c>
      <c r="C24" s="232" t="n">
        <v>0.0968952534619799</v>
      </c>
      <c r="D24" s="231" t="n">
        <v>0.178401121596335</v>
      </c>
      <c r="E24" s="231" t="n">
        <v>0.259906989730689</v>
      </c>
      <c r="F24" s="231" t="n">
        <v>0.341412857865044</v>
      </c>
      <c r="G24" s="231" t="n">
        <v>0.422918725999398</v>
      </c>
      <c r="H24" s="231" t="n">
        <v>0.504424594133753</v>
      </c>
    </row>
    <row r="25"/>
    <row r="26"/>
    <row r="27" ht="15" customHeight="1" s="170">
      <c r="B27" s="165" t="inlineStr">
        <is>
          <t>BAREVNÁ ŠKÁLA:</t>
        </is>
      </c>
    </row>
    <row r="28" ht="15" customHeight="1" s="170">
      <c r="B28" s="98" t="n"/>
      <c r="C28" s="166" t="inlineStr">
        <is>
          <t>Nízký dopad (&lt; 20 000 € / &lt; 5 %)</t>
        </is>
      </c>
    </row>
    <row r="29" ht="15" customHeight="1" s="170">
      <c r="B29" s="54" t="n"/>
      <c r="C29" s="166" t="inlineStr">
        <is>
          <t>Střední dopad (20–50 000 € / 5–10 %)</t>
        </is>
      </c>
    </row>
    <row r="30" ht="15" customHeight="1" s="170">
      <c r="B30" s="55" t="n"/>
      <c r="C30" s="166" t="inlineStr">
        <is>
          <t>Vysoký dopad (50–80 000 € / 10–15 %)</t>
        </is>
      </c>
    </row>
    <row r="31" ht="15" customHeight="1" s="170">
      <c r="B31" s="99" t="n"/>
      <c r="C31" s="166" t="inlineStr">
        <is>
          <t>Kritický dopad (&gt; 80 000 € / &gt; 15 %)</t>
        </is>
      </c>
    </row>
    <row r="32"/>
    <row r="33" ht="15" customHeight="1" s="170">
      <c r="B33" s="162" t="inlineStr">
        <is>
          <t>Pozn.: Matice zahrnuje všech 11 materiálů s kompletními cenami. Pro změnu parametrů (objemy, závislosti) upravte příslušné listy materiálů.</t>
        </is>
      </c>
    </row>
  </sheetData>
  <mergeCells count="6">
    <mergeCell ref="B14:H14"/>
    <mergeCell ref="C30:G30"/>
    <mergeCell ref="C29:G29"/>
    <mergeCell ref="C28:G28"/>
    <mergeCell ref="B33:H33"/>
    <mergeCell ref="C31:G31"/>
  </mergeCells>
  <pageMargins left="0.75" right="0.75" top="1" bottom="1" header="0.511811023622047" footer="0.511811023622047"/>
  <pageSetup orientation="portrait" paperSize="9" horizontalDpi="300" verticalDpi="300"/>
</worksheet>
</file>

<file path=xl/worksheets/sheet6.xml><?xml version="1.0" encoding="utf-8"?>
<worksheet xmlns="http://schemas.openxmlformats.org/spreadsheetml/2006/main">
  <sheetPr>
    <tabColor rgb="FF8B4513"/>
    <outlinePr summaryBelow="1" summaryRight="1"/>
    <pageSetUpPr/>
  </sheetPr>
  <dimension ref="A1:P43"/>
  <sheetViews>
    <sheetView topLeftCell="A19" zoomScaleNormal="100" workbookViewId="0">
      <selection activeCell="D21" sqref="D21"/>
    </sheetView>
  </sheetViews>
  <sheetFormatPr baseColWidth="8" defaultColWidth="8.7109375" defaultRowHeight="15"/>
  <cols>
    <col width="3" customWidth="1" style="170" min="1" max="1"/>
    <col width="32" customWidth="1" style="170" min="2" max="2"/>
    <col width="14" customWidth="1" style="170" min="3" max="16"/>
  </cols>
  <sheetData>
    <row r="1"/>
    <row r="2" ht="18" customHeight="1" s="170">
      <c r="B2" s="2" t="inlineStr">
        <is>
          <t>BUTYL – SealantSupplier1</t>
        </is>
      </c>
    </row>
    <row r="3" ht="45" customHeight="1" s="170">
      <c r="B3" s="32" t="inlineStr">
        <is>
          <t>Analýza cenového dopadu růstu energií – Kvartální výhled Q2–Q3 2026</t>
        </is>
      </c>
    </row>
    <row r="4"/>
    <row r="5" ht="30" customHeight="1" s="170">
      <c r="B5" s="171" t="inlineStr">
        <is>
          <t>ENERGETICKÝ PROFIL VÝROBY</t>
        </is>
      </c>
      <c r="C5" s="173" t="n"/>
      <c r="D5" s="173" t="n"/>
      <c r="E5" s="173" t="n"/>
      <c r="F5" s="173" t="n"/>
      <c r="G5" s="173" t="n"/>
      <c r="H5" s="173" t="n"/>
      <c r="I5" s="173" t="n"/>
    </row>
    <row r="6" ht="25.5" customHeight="1" s="170">
      <c r="B6" s="34" t="inlineStr">
        <is>
          <t>Závislost na ropě (petrochemie, transport)</t>
        </is>
      </c>
      <c r="C6" s="233" t="n">
        <v>0.7</v>
      </c>
    </row>
    <row r="7" ht="15" customHeight="1" s="170">
      <c r="B7" s="34" t="inlineStr">
        <is>
          <t>Závislost na plynu (energie, suroviny)</t>
        </is>
      </c>
      <c r="C7" s="233" t="n">
        <v>0.3</v>
      </c>
    </row>
    <row r="8" ht="25.5" customHeight="1" s="170">
      <c r="B8" s="34" t="inlineStr">
        <is>
          <t>Podíl energetických nákladů na výr. ceně</t>
        </is>
      </c>
      <c r="C8" s="233" t="n">
        <v>0.35</v>
      </c>
    </row>
    <row r="9"/>
    <row r="10" ht="24" customHeight="1" s="170">
      <c r="B10" s="165" t="inlineStr">
        <is>
          <t>VÝROBNÍ PROCES A ENERGETICKÁ NÁROČNOST:</t>
        </is>
      </c>
    </row>
    <row r="11" ht="49.5" customHeight="1" s="170">
      <c r="B11" s="167" t="inlineStr">
        <is>
          <t>Butylový tmel je vyráběn z polyisobutylenu (PIB), který je přímým derivátem ropy – vzniká polymerací isobutylenu, frakce z rafinérského krakování. Výroba je proto silně závislá na ceně ropy jak jako suroviny, tak jako zdroje energie pro chemické procesy.</t>
        </is>
      </c>
    </row>
    <row r="12" ht="39.75" customHeight="1" s="170">
      <c r="B12" s="168" t="inlineStr">
        <is>
          <t>Klíčová surovina (isobuten) pochází z ropných rafinérií. Vysoká závislost na ropě (~70 %). Plyn se podílí na vytápění reaktorů a sušení (~30 %).</t>
        </is>
      </c>
    </row>
    <row r="13"/>
    <row r="14" ht="30" customHeight="1" s="170">
      <c r="B14" s="171" t="inlineStr">
        <is>
          <t>A) CENOVÝ MODEL – JEDNOTKOVÁ CENA</t>
        </is>
      </c>
      <c r="C14" s="173" t="n"/>
      <c r="D14" s="173" t="n"/>
      <c r="E14" s="173" t="n"/>
      <c r="F14" s="173" t="n"/>
      <c r="G14" s="173" t="n"/>
      <c r="H14" s="173" t="n"/>
      <c r="I14" s="173" t="n"/>
      <c r="J14" s="173" t="n"/>
      <c r="K14" s="173" t="n"/>
    </row>
    <row r="15" ht="38.25" customHeight="1" s="170">
      <c r="B15" s="7" t="inlineStr">
        <is>
          <t>Produkt</t>
        </is>
      </c>
      <c r="C15" s="7" t="inlineStr">
        <is>
          <t>Jednotka</t>
        </is>
      </c>
      <c r="D15" s="7" t="inlineStr">
        <is>
          <t>Aktuální cena
(EUR)</t>
        </is>
      </c>
      <c r="E15" s="7" t="inlineStr">
        <is>
          <t>Scénář MÍRNÝ
(nová cena)</t>
        </is>
      </c>
      <c r="F15" s="7" t="inlineStr">
        <is>
          <t>Rozdíl
(EUR)</t>
        </is>
      </c>
      <c r="G15" s="7" t="inlineStr">
        <is>
          <t>Rozdíl
(%)</t>
        </is>
      </c>
      <c r="H15" s="7" t="inlineStr">
        <is>
          <t>Scénář STŘEDNÍ
(nová cena)</t>
        </is>
      </c>
      <c r="I15" s="7" t="inlineStr">
        <is>
          <t>Rozdíl
(EUR)</t>
        </is>
      </c>
      <c r="J15" s="7" t="inlineStr">
        <is>
          <t>Rozdíl
(%)</t>
        </is>
      </c>
      <c r="K15" s="7" t="inlineStr">
        <is>
          <t>Scénář KRIZOVÝ
(nová cena)</t>
        </is>
      </c>
      <c r="L15" s="7" t="inlineStr">
        <is>
          <t>Rozdíl
(EUR)</t>
        </is>
      </c>
      <c r="M15" s="7" t="inlineStr">
        <is>
          <t>Rozdíl
(%)</t>
        </is>
      </c>
    </row>
    <row r="16" ht="15" customHeight="1" s="170">
      <c r="B16" s="163" t="inlineStr">
        <is>
          <t>GD 115</t>
        </is>
      </c>
      <c r="C16" s="157" t="inlineStr">
        <is>
          <t>EUR/kg</t>
        </is>
      </c>
      <c r="D16" s="202" t="n">
        <v>6.95</v>
      </c>
      <c r="E16" s="204">
        <f>D16*(1+C8*(C6*(Ropa_a_plyn!C8-Ropa_a_plyn!C7)/Ropa_a_plyn!C7*0.3+C7*(Ropa_a_plyn!C17-Ropa_a_plyn!C16)/Ropa_a_plyn!C16*0.3))</f>
        <v/>
      </c>
      <c r="F16" s="234">
        <f>E16-D16</f>
        <v/>
      </c>
      <c r="G16" s="235">
        <f>F16/D16</f>
        <v/>
      </c>
      <c r="H16" s="205">
        <f>D16*(1+C8*(C6*(Ropa_a_plyn!C8-Ropa_a_plyn!C7)/Ropa_a_plyn!C7*0.5+C7*(Ropa_a_plyn!C17-Ropa_a_plyn!C16)/Ropa_a_plyn!C16*0.5))</f>
        <v/>
      </c>
      <c r="I16" s="236">
        <f>H16-D16</f>
        <v/>
      </c>
      <c r="J16" s="237">
        <f>I16/D16</f>
        <v/>
      </c>
      <c r="K16" s="206">
        <f>D16*(1+C8*(C6*(Ropa_a_plyn!C8-Ropa_a_plyn!C7)/Ropa_a_plyn!C7*0.75+C7*(Ropa_a_plyn!C17-Ropa_a_plyn!C16)/Ropa_a_plyn!C16*0.75))</f>
        <v/>
      </c>
      <c r="L16" s="238">
        <f>K16-D16</f>
        <v/>
      </c>
      <c r="M16" s="192">
        <f>L16/D16</f>
        <v/>
      </c>
    </row>
    <row r="17"/>
    <row r="18"/>
    <row r="19" ht="30" customHeight="1" s="170">
      <c r="B19" s="171" t="inlineStr">
        <is>
          <t>B) OBJEMY A KVARTÁLNÍ FINANČNÍ DOPAD</t>
        </is>
      </c>
      <c r="C19" s="173" t="n"/>
      <c r="D19" s="173" t="n"/>
      <c r="E19" s="173" t="n"/>
      <c r="F19" s="173" t="n"/>
      <c r="G19" s="173" t="n"/>
      <c r="H19" s="173" t="n"/>
      <c r="I19" s="173" t="n"/>
      <c r="J19" s="173" t="n"/>
      <c r="K19" s="173" t="n"/>
      <c r="L19" s="173" t="n"/>
      <c r="M19" s="173" t="n"/>
      <c r="N19" s="173" t="n"/>
    </row>
    <row r="20" ht="25.5" customHeight="1" s="170">
      <c r="B20" s="7" t="inlineStr">
        <is>
          <t>Produkt</t>
        </is>
      </c>
      <c r="C20" s="7" t="inlineStr">
        <is>
          <t>Jednotka</t>
        </is>
      </c>
      <c r="D20" s="7" t="inlineStr">
        <is>
          <t>Měsíční objem</t>
        </is>
      </c>
      <c r="E20" s="7" t="inlineStr">
        <is>
          <t>Q2 2026
(Dub–Čer)</t>
        </is>
      </c>
      <c r="F20" s="7" t="inlineStr">
        <is>
          <t>Q3 2026
(Čec–Zář)</t>
        </is>
      </c>
      <c r="G20" s="7" t="inlineStr">
        <is>
          <t>Celkem
6 měsíců</t>
        </is>
      </c>
    </row>
    <row r="21" ht="15" customHeight="1" s="170">
      <c r="B21" s="163" t="inlineStr">
        <is>
          <t>GD 115</t>
        </is>
      </c>
      <c r="C21" s="157" t="inlineStr">
        <is>
          <t>EUR/kg</t>
        </is>
      </c>
      <c r="D21" s="40" t="n">
        <v>500</v>
      </c>
      <c r="E21" s="106">
        <f>D21*3</f>
        <v/>
      </c>
      <c r="F21" s="106">
        <f>D21*3</f>
        <v/>
      </c>
      <c r="G21" s="41">
        <f>E21+F21</f>
        <v/>
      </c>
    </row>
    <row r="22"/>
    <row r="23" ht="30" customHeight="1" s="170">
      <c r="B23" s="171" t="inlineStr">
        <is>
          <t>C1) FINANČNÍ DOPAD – SCÉNÁŘ MÍRNÝ</t>
        </is>
      </c>
      <c r="C23" s="173" t="n"/>
      <c r="D23" s="173" t="n"/>
      <c r="E23" s="173" t="n"/>
      <c r="F23" s="173" t="n"/>
      <c r="G23" s="173" t="n"/>
      <c r="H23" s="173" t="n"/>
      <c r="I23" s="173" t="n"/>
      <c r="J23" s="173" t="n"/>
      <c r="K23" s="173" t="n"/>
      <c r="L23" s="173" t="n"/>
      <c r="M23" s="173" t="n"/>
      <c r="N23" s="173" t="n"/>
    </row>
    <row r="24" ht="25.5" customHeight="1" s="170">
      <c r="B24" s="7" t="inlineStr">
        <is>
          <t>Produkt</t>
        </is>
      </c>
      <c r="C24" s="7" t="n"/>
      <c r="D24" s="7" t="inlineStr">
        <is>
          <t>Aktuální
jedn. cena</t>
        </is>
      </c>
      <c r="E24" s="7" t="inlineStr">
        <is>
          <t>Nová
jedn. cena</t>
        </is>
      </c>
      <c r="F24" s="7" t="inlineStr">
        <is>
          <t>Náklady Q2
AKTUÁLNÍ</t>
        </is>
      </c>
      <c r="G24" s="7" t="inlineStr">
        <is>
          <t>Náklady Q2
NOVÉ</t>
        </is>
      </c>
      <c r="H24" s="7" t="inlineStr">
        <is>
          <t>Rozdíl Q2
(EUR)</t>
        </is>
      </c>
      <c r="I24" s="7" t="inlineStr">
        <is>
          <t>Náklady Q3
AKTUÁLNÍ</t>
        </is>
      </c>
      <c r="J24" s="7" t="inlineStr">
        <is>
          <t>Náklady Q3
NOVÉ</t>
        </is>
      </c>
      <c r="K24" s="7" t="inlineStr">
        <is>
          <t>Rozdíl Q3
(EUR)</t>
        </is>
      </c>
      <c r="L24" s="7" t="inlineStr">
        <is>
          <t>Celkem 6M
AKTUÁLNÍ</t>
        </is>
      </c>
      <c r="M24" s="7" t="inlineStr">
        <is>
          <t>Celkem 6M
NOVÉ</t>
        </is>
      </c>
      <c r="N24" s="7" t="inlineStr">
        <is>
          <t>Celkový rozdíl
6M (EUR)</t>
        </is>
      </c>
    </row>
    <row r="25" ht="15" customHeight="1" s="170">
      <c r="B25" s="163" t="inlineStr">
        <is>
          <t>GD 115</t>
        </is>
      </c>
      <c r="C25" s="157" t="inlineStr">
        <is>
          <t>EUR/kg</t>
        </is>
      </c>
      <c r="D25" s="239">
        <f>D16</f>
        <v/>
      </c>
      <c r="E25" s="240">
        <f>E16</f>
        <v/>
      </c>
      <c r="F25" s="241">
        <f>D16*E21</f>
        <v/>
      </c>
      <c r="G25" s="186">
        <f>E16*E21</f>
        <v/>
      </c>
      <c r="H25" s="196">
        <f>G25-F25</f>
        <v/>
      </c>
      <c r="I25" s="241">
        <f>D16*F21</f>
        <v/>
      </c>
      <c r="J25" s="186">
        <f>E16*F21</f>
        <v/>
      </c>
      <c r="K25" s="196">
        <f>J25-I25</f>
        <v/>
      </c>
      <c r="L25" s="242">
        <f>F25+I25</f>
        <v/>
      </c>
      <c r="M25" s="186">
        <f>G25+J25</f>
        <v/>
      </c>
      <c r="N25" s="196">
        <f>M25-L25</f>
        <v/>
      </c>
    </row>
    <row r="26" ht="15" customHeight="1" s="170">
      <c r="B26" s="111" t="inlineStr">
        <is>
          <t>CELKEM</t>
        </is>
      </c>
      <c r="C26" s="27" t="n"/>
      <c r="D26" s="27" t="n"/>
      <c r="E26" s="27" t="n"/>
      <c r="F26" s="243">
        <f>SUM(F25:F25)</f>
        <v/>
      </c>
      <c r="G26" s="243">
        <f>SUM(G25:G25)</f>
        <v/>
      </c>
      <c r="H26" s="196">
        <f>SUM(H25:H25)</f>
        <v/>
      </c>
      <c r="I26" s="243">
        <f>SUM(I25:I25)</f>
        <v/>
      </c>
      <c r="J26" s="243">
        <f>SUM(J25:J25)</f>
        <v/>
      </c>
      <c r="K26" s="196">
        <f>SUM(K25:K25)</f>
        <v/>
      </c>
      <c r="L26" s="243">
        <f>SUM(L25:L25)</f>
        <v/>
      </c>
      <c r="M26" s="243">
        <f>SUM(M25:M25)</f>
        <v/>
      </c>
      <c r="N26" s="196">
        <f>SUM(N25:N25)</f>
        <v/>
      </c>
    </row>
    <row r="27"/>
    <row r="28" ht="30" customHeight="1" s="170">
      <c r="B28" s="171" t="inlineStr">
        <is>
          <t>C2) FINANČNÍ DOPAD – SCÉNÁŘ STŘEDNÍ</t>
        </is>
      </c>
      <c r="C28" s="173" t="n"/>
      <c r="D28" s="173" t="n"/>
      <c r="E28" s="173" t="n"/>
      <c r="F28" s="173" t="n"/>
      <c r="G28" s="173" t="n"/>
      <c r="H28" s="173" t="n"/>
      <c r="I28" s="173" t="n"/>
      <c r="J28" s="173" t="n"/>
      <c r="K28" s="173" t="n"/>
      <c r="L28" s="173" t="n"/>
      <c r="M28" s="173" t="n"/>
      <c r="N28" s="173" t="n"/>
    </row>
    <row r="29" ht="25.5" customHeight="1" s="170">
      <c r="B29" s="7" t="inlineStr">
        <is>
          <t>Produkt</t>
        </is>
      </c>
      <c r="C29" s="7" t="n"/>
      <c r="D29" s="7" t="inlineStr">
        <is>
          <t>Aktuální
jedn. cena</t>
        </is>
      </c>
      <c r="E29" s="7" t="inlineStr">
        <is>
          <t>Nová
jedn. cena</t>
        </is>
      </c>
      <c r="F29" s="7" t="inlineStr">
        <is>
          <t>Náklady Q2
AKTUÁLNÍ</t>
        </is>
      </c>
      <c r="G29" s="7" t="inlineStr">
        <is>
          <t>Náklady Q2
NOVÉ</t>
        </is>
      </c>
      <c r="H29" s="7" t="inlineStr">
        <is>
          <t>Rozdíl Q2
(EUR)</t>
        </is>
      </c>
      <c r="I29" s="7" t="inlineStr">
        <is>
          <t>Náklady Q3
AKTUÁLNÍ</t>
        </is>
      </c>
      <c r="J29" s="7" t="inlineStr">
        <is>
          <t>Náklady Q3
NOVÉ</t>
        </is>
      </c>
      <c r="K29" s="7" t="inlineStr">
        <is>
          <t>Rozdíl Q3
(EUR)</t>
        </is>
      </c>
      <c r="L29" s="7" t="inlineStr">
        <is>
          <t>Celkem 6M
AKTUÁLNÍ</t>
        </is>
      </c>
      <c r="M29" s="7" t="inlineStr">
        <is>
          <t>Celkem 6M
NOVÉ</t>
        </is>
      </c>
      <c r="N29" s="7" t="inlineStr">
        <is>
          <t>Celkový rozdíl
6M (EUR)</t>
        </is>
      </c>
    </row>
    <row r="30" ht="15" customHeight="1" s="170">
      <c r="B30" s="163" t="inlineStr">
        <is>
          <t>GD 115</t>
        </is>
      </c>
      <c r="C30" s="157" t="inlineStr">
        <is>
          <t>EUR/kg</t>
        </is>
      </c>
      <c r="D30" s="239">
        <f>D16</f>
        <v/>
      </c>
      <c r="E30" s="244">
        <f>H16</f>
        <v/>
      </c>
      <c r="F30" s="241">
        <f>D16*E21</f>
        <v/>
      </c>
      <c r="G30" s="189">
        <f>H16*E21</f>
        <v/>
      </c>
      <c r="H30" s="196">
        <f>G30-F30</f>
        <v/>
      </c>
      <c r="I30" s="241">
        <f>D16*F21</f>
        <v/>
      </c>
      <c r="J30" s="189">
        <f>H16*F21</f>
        <v/>
      </c>
      <c r="K30" s="196">
        <f>J30-I30</f>
        <v/>
      </c>
      <c r="L30" s="242">
        <f>F30+I30</f>
        <v/>
      </c>
      <c r="M30" s="189">
        <f>G30+J30</f>
        <v/>
      </c>
      <c r="N30" s="196">
        <f>M30-L30</f>
        <v/>
      </c>
    </row>
    <row r="31" ht="15" customHeight="1" s="170">
      <c r="B31" s="111" t="inlineStr">
        <is>
          <t>CELKEM</t>
        </is>
      </c>
      <c r="C31" s="27" t="n"/>
      <c r="D31" s="27" t="n"/>
      <c r="E31" s="27" t="n"/>
      <c r="F31" s="243">
        <f>SUM(F30:F30)</f>
        <v/>
      </c>
      <c r="G31" s="243">
        <f>SUM(G30:G30)</f>
        <v/>
      </c>
      <c r="H31" s="196">
        <f>SUM(H30:H30)</f>
        <v/>
      </c>
      <c r="I31" s="243">
        <f>SUM(I30:I30)</f>
        <v/>
      </c>
      <c r="J31" s="243">
        <f>SUM(J30:J30)</f>
        <v/>
      </c>
      <c r="K31" s="196">
        <f>SUM(K30:K30)</f>
        <v/>
      </c>
      <c r="L31" s="243">
        <f>SUM(L30:L30)</f>
        <v/>
      </c>
      <c r="M31" s="243">
        <f>SUM(M30:M30)</f>
        <v/>
      </c>
      <c r="N31" s="196">
        <f>SUM(N30:N30)</f>
        <v/>
      </c>
    </row>
    <row r="32"/>
    <row r="33" ht="30" customHeight="1" s="170">
      <c r="B33" s="171" t="inlineStr">
        <is>
          <t>C3) FINANČNÍ DOPAD – SCÉNÁŘ KRIZOVÝ</t>
        </is>
      </c>
      <c r="C33" s="173" t="n"/>
      <c r="D33" s="173" t="n"/>
      <c r="E33" s="173" t="n"/>
      <c r="F33" s="173" t="n"/>
      <c r="G33" s="173" t="n"/>
      <c r="H33" s="173" t="n"/>
      <c r="I33" s="173" t="n"/>
      <c r="J33" s="173" t="n"/>
      <c r="K33" s="173" t="n"/>
      <c r="L33" s="173" t="n"/>
      <c r="M33" s="173" t="n"/>
      <c r="N33" s="173" t="n"/>
    </row>
    <row r="34" ht="25.5" customHeight="1" s="170">
      <c r="B34" s="7" t="inlineStr">
        <is>
          <t>Produkt</t>
        </is>
      </c>
      <c r="C34" s="7" t="n"/>
      <c r="D34" s="7" t="inlineStr">
        <is>
          <t>Aktuální
jedn. cena</t>
        </is>
      </c>
      <c r="E34" s="7" t="inlineStr">
        <is>
          <t>Nová
jedn. cena</t>
        </is>
      </c>
      <c r="F34" s="7" t="inlineStr">
        <is>
          <t>Náklady Q2
AKTUÁLNÍ</t>
        </is>
      </c>
      <c r="G34" s="7" t="inlineStr">
        <is>
          <t>Náklady Q2
NOVÉ</t>
        </is>
      </c>
      <c r="H34" s="7" t="inlineStr">
        <is>
          <t>Rozdíl Q2
(EUR)</t>
        </is>
      </c>
      <c r="I34" s="7" t="inlineStr">
        <is>
          <t>Náklady Q3
AKTUÁLNÍ</t>
        </is>
      </c>
      <c r="J34" s="7" t="inlineStr">
        <is>
          <t>Náklady Q3
NOVÉ</t>
        </is>
      </c>
      <c r="K34" s="7" t="inlineStr">
        <is>
          <t>Rozdíl Q3
(EUR)</t>
        </is>
      </c>
      <c r="L34" s="7" t="inlineStr">
        <is>
          <t>Celkem 6M
AKTUÁLNÍ</t>
        </is>
      </c>
      <c r="M34" s="7" t="inlineStr">
        <is>
          <t>Celkem 6M
NOVÉ</t>
        </is>
      </c>
      <c r="N34" s="7" t="inlineStr">
        <is>
          <t>Celkový rozdíl
6M (EUR)</t>
        </is>
      </c>
    </row>
    <row r="35" ht="15" customHeight="1" s="170">
      <c r="B35" s="163" t="inlineStr">
        <is>
          <t>GD 115</t>
        </is>
      </c>
      <c r="C35" s="157" t="inlineStr">
        <is>
          <t>EUR/kg</t>
        </is>
      </c>
      <c r="D35" s="239">
        <f>D16</f>
        <v/>
      </c>
      <c r="E35" s="245">
        <f>K16</f>
        <v/>
      </c>
      <c r="F35" s="241">
        <f>D16*E21</f>
        <v/>
      </c>
      <c r="G35" s="193">
        <f>K16*E21</f>
        <v/>
      </c>
      <c r="H35" s="196">
        <f>G35-F35</f>
        <v/>
      </c>
      <c r="I35" s="241">
        <f>D16*F21</f>
        <v/>
      </c>
      <c r="J35" s="193">
        <f>K16*F21</f>
        <v/>
      </c>
      <c r="K35" s="196">
        <f>J35-I35</f>
        <v/>
      </c>
      <c r="L35" s="242">
        <f>F35+I35</f>
        <v/>
      </c>
      <c r="M35" s="193">
        <f>G35+J35</f>
        <v/>
      </c>
      <c r="N35" s="196">
        <f>M35-L35</f>
        <v/>
      </c>
    </row>
    <row r="36" ht="15" customHeight="1" s="170">
      <c r="B36" s="111" t="inlineStr">
        <is>
          <t>CELKEM</t>
        </is>
      </c>
      <c r="C36" s="27" t="n"/>
      <c r="D36" s="27" t="n"/>
      <c r="E36" s="27" t="n"/>
      <c r="F36" s="243">
        <f>SUM(F35:F35)</f>
        <v/>
      </c>
      <c r="G36" s="243">
        <f>SUM(G35:G35)</f>
        <v/>
      </c>
      <c r="H36" s="196">
        <f>SUM(H35:H35)</f>
        <v/>
      </c>
      <c r="I36" s="243">
        <f>SUM(I35:I35)</f>
        <v/>
      </c>
      <c r="J36" s="243">
        <f>SUM(J35:J35)</f>
        <v/>
      </c>
      <c r="K36" s="196">
        <f>SUM(K35:K35)</f>
        <v/>
      </c>
      <c r="L36" s="243">
        <f>SUM(L35:L35)</f>
        <v/>
      </c>
      <c r="M36" s="243">
        <f>SUM(M35:M35)</f>
        <v/>
      </c>
      <c r="N36" s="196">
        <f>SUM(N35:N35)</f>
        <v/>
      </c>
    </row>
    <row r="37"/>
    <row r="38"/>
    <row r="39" ht="26.25" customHeight="1" s="170">
      <c r="B39" s="171" t="inlineStr">
        <is>
          <t>D) PREDIKCE vs. REALITA – POROVNÁNÍ S DODAVATELEM</t>
        </is>
      </c>
      <c r="C39" s="173" t="n"/>
      <c r="D39" s="173" t="n"/>
      <c r="E39" s="173" t="n"/>
      <c r="F39" s="173" t="n"/>
      <c r="G39" s="173" t="n"/>
      <c r="H39" s="173" t="n"/>
      <c r="I39" s="173" t="n"/>
      <c r="J39" s="173" t="n"/>
      <c r="K39" s="173" t="n"/>
      <c r="L39" s="173" t="n"/>
      <c r="M39" s="173" t="n"/>
      <c r="N39" s="173" t="n"/>
      <c r="O39" s="173" t="n"/>
    </row>
    <row r="40" ht="25.5" customHeight="1" s="170">
      <c r="B40" s="7" t="inlineStr">
        <is>
          <t>Produkt</t>
        </is>
      </c>
      <c r="C40" s="7" t="inlineStr">
        <is>
          <t>Jednotka</t>
        </is>
      </c>
      <c r="D40" s="7" t="inlineStr">
        <is>
          <t>Aktuální
cena</t>
        </is>
      </c>
      <c r="E40" s="7" t="inlineStr">
        <is>
          <t>Predikce
MÍRNÝ</t>
        </is>
      </c>
      <c r="F40" s="7" t="inlineStr">
        <is>
          <t>Predikce
STŘEDNÍ</t>
        </is>
      </c>
      <c r="G40" s="7" t="inlineStr">
        <is>
          <t>Predikce
KRIZOVÝ</t>
        </is>
      </c>
      <c r="H40" s="7" t="inlineStr">
        <is>
          <t>Reálná nová
cena (EUR)</t>
        </is>
      </c>
      <c r="I40" s="7" t="inlineStr">
        <is>
          <t>Reálné
zdražení (%)</t>
        </is>
      </c>
      <c r="J40" s="7" t="inlineStr">
        <is>
          <t>Reálný vs.
Mírný</t>
        </is>
      </c>
      <c r="K40" s="7" t="inlineStr">
        <is>
          <t>Reálný vs.
Střední</t>
        </is>
      </c>
      <c r="L40" s="7" t="inlineStr">
        <is>
          <t>Reálný vs.
Krizový</t>
        </is>
      </c>
      <c r="M40" s="7" t="inlineStr">
        <is>
          <t>Měs. objem</t>
        </is>
      </c>
      <c r="N40" s="7" t="inlineStr">
        <is>
          <t>Reálný dopad
měsíční (EUR)</t>
        </is>
      </c>
      <c r="O40" s="7" t="inlineStr">
        <is>
          <t>Reálný dopad
6M (EUR)</t>
        </is>
      </c>
      <c r="P40" s="155" t="inlineStr">
        <is>
          <t>Zdražení
od</t>
        </is>
      </c>
    </row>
    <row r="41" ht="15" customHeight="1" s="170">
      <c r="B41" s="163" t="inlineStr">
        <is>
          <t>GD 115</t>
        </is>
      </c>
      <c r="C41" s="157" t="inlineStr">
        <is>
          <t>EUR/kg</t>
        </is>
      </c>
      <c r="D41" s="239">
        <f>D16</f>
        <v/>
      </c>
      <c r="E41" s="240">
        <f>E16</f>
        <v/>
      </c>
      <c r="F41" s="244">
        <f>H16</f>
        <v/>
      </c>
      <c r="G41" s="245">
        <f>K16</f>
        <v/>
      </c>
      <c r="H41" s="246" t="n">
        <v>7.645</v>
      </c>
      <c r="I41" s="247" t="n">
        <v>0.1</v>
      </c>
      <c r="J41" s="248">
        <f>H41-E41</f>
        <v/>
      </c>
      <c r="K41" s="248">
        <f>H41-F41</f>
        <v/>
      </c>
      <c r="L41" s="248">
        <f>H41-G41</f>
        <v/>
      </c>
      <c r="M41" s="118">
        <f>D21</f>
        <v/>
      </c>
      <c r="N41" s="196">
        <f>(H41-D41)*M41</f>
        <v/>
      </c>
      <c r="O41" s="196">
        <f>N41*6</f>
        <v/>
      </c>
      <c r="P41" s="47" t="inlineStr">
        <is>
          <t>1.4.2026</t>
        </is>
      </c>
    </row>
    <row r="42"/>
    <row r="43" ht="15" customHeight="1" s="170">
      <c r="B43" s="165" t="inlineStr">
        <is>
          <t>Status:</t>
        </is>
      </c>
      <c r="C43" s="169" t="inlineStr">
        <is>
          <t>✅ Potvrzeno dodavatelem: SealantSupplier1 zdražuje o 10 % od Q2 2026.</t>
        </is>
      </c>
    </row>
  </sheetData>
  <mergeCells count="3">
    <mergeCell ref="B12:J12"/>
    <mergeCell ref="B11:J11"/>
    <mergeCell ref="C43:L43"/>
  </mergeCells>
  <pageMargins left="0.75" right="0.75" top="1" bottom="1" header="0.511811023622047" footer="0.511811023622047"/>
  <pageSetup orientation="portrait" paperSize="9" horizontalDpi="300" verticalDpi="300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tabColor rgb="FF4A148C"/>
    <outlinePr summaryBelow="1" summaryRight="1"/>
    <pageSetUpPr/>
  </sheetPr>
  <dimension ref="A1:P43"/>
  <sheetViews>
    <sheetView topLeftCell="A8" zoomScaleNormal="100" workbookViewId="0">
      <selection activeCell="B49" sqref="B49"/>
    </sheetView>
  </sheetViews>
  <sheetFormatPr baseColWidth="8" defaultColWidth="8.7109375" defaultRowHeight="15"/>
  <cols>
    <col width="3" customWidth="1" style="170" min="1" max="1"/>
    <col width="32" customWidth="1" style="170" min="2" max="2"/>
    <col width="14" customWidth="1" style="170" min="3" max="16"/>
  </cols>
  <sheetData>
    <row r="1"/>
    <row r="2" ht="18" customHeight="1" s="170">
      <c r="B2" s="2" t="inlineStr">
        <is>
          <t>TMEL – SealantSupplier2 (POLYURETAN)</t>
        </is>
      </c>
    </row>
    <row r="3" ht="45" customHeight="1" s="170">
      <c r="B3" s="32" t="inlineStr">
        <is>
          <t>Analýza cenového dopadu růstu energií – Kvartální výhled Q2–Q3 2026</t>
        </is>
      </c>
    </row>
    <row r="4"/>
    <row r="5" ht="30" customHeight="1" s="170">
      <c r="B5" s="171" t="inlineStr">
        <is>
          <t>ENERGETICKÝ PROFIL VÝROBY</t>
        </is>
      </c>
      <c r="C5" s="173" t="n"/>
      <c r="D5" s="173" t="n"/>
      <c r="E5" s="173" t="n"/>
      <c r="F5" s="173" t="n"/>
      <c r="G5" s="173" t="n"/>
      <c r="H5" s="173" t="n"/>
      <c r="I5" s="173" t="n"/>
    </row>
    <row r="6" ht="25.5" customHeight="1" s="170">
      <c r="B6" s="34" t="inlineStr">
        <is>
          <t>Závislost na ropě (petrochemie, transport)</t>
        </is>
      </c>
      <c r="C6" s="233" t="n">
        <v>0.55</v>
      </c>
    </row>
    <row r="7" ht="15" customHeight="1" s="170">
      <c r="B7" s="34" t="inlineStr">
        <is>
          <t>Závislost na plynu (energie, suroviny)</t>
        </is>
      </c>
      <c r="C7" s="233" t="n">
        <v>0.45</v>
      </c>
    </row>
    <row r="8" ht="25.5" customHeight="1" s="170">
      <c r="B8" s="34" t="inlineStr">
        <is>
          <t>Podíl energetických nákladů na výr. ceně</t>
        </is>
      </c>
      <c r="C8" s="233" t="n">
        <v>0.3</v>
      </c>
    </row>
    <row r="9"/>
    <row r="10" ht="24" customHeight="1" s="170">
      <c r="B10" s="165" t="inlineStr">
        <is>
          <t>VÝROBNÍ PROCES A ENERGETICKÁ NÁROČNOST:</t>
        </is>
      </c>
    </row>
    <row r="11" ht="49.5" customHeight="1" s="170">
      <c r="B11" s="167" t="inlineStr">
        <is>
          <t>Polysulfidový tmel Sealant130 je dvousložkový systém. Polysulfidová pryskyřice (složka A) se vyrábí z ethylenchloridu a síranu sodného – ethylenchlorid je petrochemický produkt. Tvrdidlo (složka B) obsahuje oxid olovnatý/manganistý. Výroba je závislá jak na ropné petrochemii, tak na energeticky náročných chemických procesech.</t>
        </is>
      </c>
    </row>
    <row r="12" ht="39.75" customHeight="1" s="170">
      <c r="B12" s="168" t="inlineStr">
        <is>
          <t>Střední závislost na ropě (~55 %) přes petrochemické prekurzory. Plyn se využívá v chemických reaktorech a při destilaci (~45 %).</t>
        </is>
      </c>
    </row>
    <row r="13"/>
    <row r="14" ht="30" customHeight="1" s="170">
      <c r="B14" s="171" t="inlineStr">
        <is>
          <t>A) CENOVÝ MODEL – JEDNOTKOVÁ CENA</t>
        </is>
      </c>
      <c r="C14" s="173" t="n"/>
      <c r="D14" s="173" t="n"/>
      <c r="E14" s="173" t="n"/>
      <c r="F14" s="173" t="n"/>
      <c r="G14" s="173" t="n"/>
      <c r="H14" s="173" t="n"/>
      <c r="I14" s="173" t="n"/>
      <c r="J14" s="173" t="n"/>
      <c r="K14" s="173" t="n"/>
    </row>
    <row r="15" ht="38.25" customHeight="1" s="170">
      <c r="B15" s="7" t="inlineStr">
        <is>
          <t>Produkt</t>
        </is>
      </c>
      <c r="C15" s="7" t="inlineStr">
        <is>
          <t>Jednotka</t>
        </is>
      </c>
      <c r="D15" s="7" t="inlineStr">
        <is>
          <t>Aktuální cena
(EUR)</t>
        </is>
      </c>
      <c r="E15" s="7" t="inlineStr">
        <is>
          <t>Scénář MÍRNÝ
(nová cena)</t>
        </is>
      </c>
      <c r="F15" s="7" t="inlineStr">
        <is>
          <t>Rozdíl
(EUR)</t>
        </is>
      </c>
      <c r="G15" s="7" t="inlineStr">
        <is>
          <t>Rozdíl
(%)</t>
        </is>
      </c>
      <c r="H15" s="7" t="inlineStr">
        <is>
          <t>Scénář STŘEDNÍ
(nová cena)</t>
        </is>
      </c>
      <c r="I15" s="7" t="inlineStr">
        <is>
          <t>Rozdíl
(EUR)</t>
        </is>
      </c>
      <c r="J15" s="7" t="inlineStr">
        <is>
          <t>Rozdíl
(%)</t>
        </is>
      </c>
      <c r="K15" s="7" t="inlineStr">
        <is>
          <t>Scénář KRIZOVÝ
(nová cena)</t>
        </is>
      </c>
      <c r="L15" s="7" t="inlineStr">
        <is>
          <t>Rozdíl
(EUR)</t>
        </is>
      </c>
      <c r="M15" s="7" t="inlineStr">
        <is>
          <t>Rozdíl
(%)</t>
        </is>
      </c>
    </row>
    <row r="16" ht="15" customHeight="1" s="170">
      <c r="B16" s="163" t="inlineStr">
        <is>
          <t>Sealant130AB (složka A+B)</t>
        </is>
      </c>
      <c r="C16" s="157" t="inlineStr">
        <is>
          <t>EUR/kg</t>
        </is>
      </c>
      <c r="D16" s="202" t="n">
        <v>2.66</v>
      </c>
      <c r="E16" s="204">
        <f>D16*(1+C8*(C6*(Ropa_a_plyn!C8-Ropa_a_plyn!C7)/Ropa_a_plyn!C7*0.3+C7*(Ropa_a_plyn!C17-Ropa_a_plyn!C16)/Ropa_a_plyn!C16*0.3))</f>
        <v/>
      </c>
      <c r="F16" s="234">
        <f>E16-D16</f>
        <v/>
      </c>
      <c r="G16" s="235">
        <f>F16/D16</f>
        <v/>
      </c>
      <c r="H16" s="205">
        <f>D16*(1+C8*(C6*(Ropa_a_plyn!C8-Ropa_a_plyn!C7)/Ropa_a_plyn!C7*0.5+C7*(Ropa_a_plyn!C17-Ropa_a_plyn!C16)/Ropa_a_plyn!C16*0.5))</f>
        <v/>
      </c>
      <c r="I16" s="236">
        <f>H16-D16</f>
        <v/>
      </c>
      <c r="J16" s="237">
        <f>I16/D16</f>
        <v/>
      </c>
      <c r="K16" s="206">
        <f>D16*(1+C8*(C6*(Ropa_a_plyn!C8-Ropa_a_plyn!C7)/Ropa_a_plyn!C7*0.75+C7*(Ropa_a_plyn!C17-Ropa_a_plyn!C16)/Ropa_a_plyn!C16*0.75))</f>
        <v/>
      </c>
      <c r="L16" s="238">
        <f>K16-D16</f>
        <v/>
      </c>
      <c r="M16" s="192">
        <f>L16/D16</f>
        <v/>
      </c>
    </row>
    <row r="17"/>
    <row r="18"/>
    <row r="19" ht="30" customHeight="1" s="170">
      <c r="B19" s="171" t="inlineStr">
        <is>
          <t>B) OBJEMY A KVARTÁLNÍ FINANČNÍ DOPAD</t>
        </is>
      </c>
      <c r="C19" s="173" t="n"/>
      <c r="D19" s="173" t="n"/>
      <c r="E19" s="173" t="n"/>
      <c r="F19" s="173" t="n"/>
      <c r="G19" s="173" t="n"/>
      <c r="H19" s="173" t="n"/>
      <c r="I19" s="173" t="n"/>
      <c r="J19" s="173" t="n"/>
      <c r="K19" s="173" t="n"/>
      <c r="L19" s="173" t="n"/>
      <c r="M19" s="173" t="n"/>
      <c r="N19" s="173" t="n"/>
    </row>
    <row r="20" ht="25.5" customHeight="1" s="170">
      <c r="B20" s="7" t="inlineStr">
        <is>
          <t>Produkt</t>
        </is>
      </c>
      <c r="C20" s="7" t="inlineStr">
        <is>
          <t>Jednotka</t>
        </is>
      </c>
      <c r="D20" s="7" t="inlineStr">
        <is>
          <t>Měsíční objem</t>
        </is>
      </c>
      <c r="E20" s="7" t="inlineStr">
        <is>
          <t>Q2 2026
(Dub–Čer)</t>
        </is>
      </c>
      <c r="F20" s="7" t="inlineStr">
        <is>
          <t>Q3 2026
(Čec–Zář)</t>
        </is>
      </c>
      <c r="G20" s="7" t="inlineStr">
        <is>
          <t>Celkem
6 měsíců</t>
        </is>
      </c>
    </row>
    <row r="21" ht="15" customHeight="1" s="170">
      <c r="B21" s="163" t="inlineStr">
        <is>
          <t>Sealant130AB (složka A+B)</t>
        </is>
      </c>
      <c r="C21" s="157" t="inlineStr">
        <is>
          <t>EUR/kg</t>
        </is>
      </c>
      <c r="D21" s="40" t="n">
        <v>800</v>
      </c>
      <c r="E21" s="106">
        <f>D21*3</f>
        <v/>
      </c>
      <c r="F21" s="106">
        <f>D21*3</f>
        <v/>
      </c>
      <c r="G21" s="41">
        <f>E21+F21</f>
        <v/>
      </c>
    </row>
    <row r="22"/>
    <row r="23" ht="30" customHeight="1" s="170">
      <c r="B23" s="171" t="inlineStr">
        <is>
          <t>C1) FINANČNÍ DOPAD – SCÉNÁŘ MÍRNÝ</t>
        </is>
      </c>
      <c r="C23" s="173" t="n"/>
      <c r="D23" s="173" t="n"/>
      <c r="E23" s="173" t="n"/>
      <c r="F23" s="173" t="n"/>
      <c r="G23" s="173" t="n"/>
      <c r="H23" s="173" t="n"/>
      <c r="I23" s="173" t="n"/>
      <c r="J23" s="173" t="n"/>
      <c r="K23" s="173" t="n"/>
      <c r="L23" s="173" t="n"/>
      <c r="M23" s="173" t="n"/>
      <c r="N23" s="173" t="n"/>
    </row>
    <row r="24" ht="25.5" customHeight="1" s="170">
      <c r="B24" s="7" t="inlineStr">
        <is>
          <t>Produkt</t>
        </is>
      </c>
      <c r="C24" s="7" t="n"/>
      <c r="D24" s="7" t="inlineStr">
        <is>
          <t>Aktuální
jedn. cena</t>
        </is>
      </c>
      <c r="E24" s="7" t="inlineStr">
        <is>
          <t>Nová
jedn. cena</t>
        </is>
      </c>
      <c r="F24" s="7" t="inlineStr">
        <is>
          <t>Náklady Q2
AKTUÁLNÍ</t>
        </is>
      </c>
      <c r="G24" s="7" t="inlineStr">
        <is>
          <t>Náklady Q2
NOVÉ</t>
        </is>
      </c>
      <c r="H24" s="7" t="inlineStr">
        <is>
          <t>Rozdíl Q2
(EUR)</t>
        </is>
      </c>
      <c r="I24" s="7" t="inlineStr">
        <is>
          <t>Náklady Q3
AKTUÁLNÍ</t>
        </is>
      </c>
      <c r="J24" s="7" t="inlineStr">
        <is>
          <t>Náklady Q3
NOVÉ</t>
        </is>
      </c>
      <c r="K24" s="7" t="inlineStr">
        <is>
          <t>Rozdíl Q3
(EUR)</t>
        </is>
      </c>
      <c r="L24" s="7" t="inlineStr">
        <is>
          <t>Celkem 6M
AKTUÁLNÍ</t>
        </is>
      </c>
      <c r="M24" s="7" t="inlineStr">
        <is>
          <t>Celkem 6M
NOVÉ</t>
        </is>
      </c>
      <c r="N24" s="7" t="inlineStr">
        <is>
          <t>Celkový rozdíl
6M (EUR)</t>
        </is>
      </c>
    </row>
    <row r="25" ht="15" customHeight="1" s="170">
      <c r="B25" s="163" t="inlineStr">
        <is>
          <t>Sealant130AB (složka A+B)</t>
        </is>
      </c>
      <c r="C25" s="157" t="inlineStr">
        <is>
          <t>EUR/kg</t>
        </is>
      </c>
      <c r="D25" s="239">
        <f>D16</f>
        <v/>
      </c>
      <c r="E25" s="240">
        <f>E16</f>
        <v/>
      </c>
      <c r="F25" s="241">
        <f>D16*E21</f>
        <v/>
      </c>
      <c r="G25" s="186">
        <f>E16*E21</f>
        <v/>
      </c>
      <c r="H25" s="196">
        <f>G25-F25</f>
        <v/>
      </c>
      <c r="I25" s="241">
        <f>D16*F21</f>
        <v/>
      </c>
      <c r="J25" s="186">
        <f>E16*F21</f>
        <v/>
      </c>
      <c r="K25" s="196">
        <f>J25-I25</f>
        <v/>
      </c>
      <c r="L25" s="242">
        <f>F25+I25</f>
        <v/>
      </c>
      <c r="M25" s="186">
        <f>G25+J25</f>
        <v/>
      </c>
      <c r="N25" s="196">
        <f>M25-L25</f>
        <v/>
      </c>
    </row>
    <row r="26" ht="15" customHeight="1" s="170">
      <c r="B26" s="111" t="inlineStr">
        <is>
          <t>CELKEM</t>
        </is>
      </c>
      <c r="C26" s="27" t="n"/>
      <c r="D26" s="27" t="n"/>
      <c r="E26" s="27" t="n"/>
      <c r="F26" s="243">
        <f>SUM(F25:F25)</f>
        <v/>
      </c>
      <c r="G26" s="243">
        <f>SUM(G25:G25)</f>
        <v/>
      </c>
      <c r="H26" s="196">
        <f>SUM(H25:H25)</f>
        <v/>
      </c>
      <c r="I26" s="243">
        <f>SUM(I25:I25)</f>
        <v/>
      </c>
      <c r="J26" s="243">
        <f>SUM(J25:J25)</f>
        <v/>
      </c>
      <c r="K26" s="196">
        <f>SUM(K25:K25)</f>
        <v/>
      </c>
      <c r="L26" s="243">
        <f>SUM(L25:L25)</f>
        <v/>
      </c>
      <c r="M26" s="243">
        <f>SUM(M25:M25)</f>
        <v/>
      </c>
      <c r="N26" s="196">
        <f>SUM(N25:N25)</f>
        <v/>
      </c>
    </row>
    <row r="27"/>
    <row r="28" ht="30" customHeight="1" s="170">
      <c r="B28" s="171" t="inlineStr">
        <is>
          <t>C2) FINANČNÍ DOPAD – SCÉNÁŘ STŘEDNÍ</t>
        </is>
      </c>
      <c r="C28" s="173" t="n"/>
      <c r="D28" s="173" t="n"/>
      <c r="E28" s="173" t="n"/>
      <c r="F28" s="173" t="n"/>
      <c r="G28" s="173" t="n"/>
      <c r="H28" s="173" t="n"/>
      <c r="I28" s="173" t="n"/>
      <c r="J28" s="173" t="n"/>
      <c r="K28" s="173" t="n"/>
      <c r="L28" s="173" t="n"/>
      <c r="M28" s="173" t="n"/>
      <c r="N28" s="173" t="n"/>
    </row>
    <row r="29" ht="25.5" customHeight="1" s="170">
      <c r="B29" s="7" t="inlineStr">
        <is>
          <t>Produkt</t>
        </is>
      </c>
      <c r="C29" s="7" t="n"/>
      <c r="D29" s="7" t="inlineStr">
        <is>
          <t>Aktuální
jedn. cena</t>
        </is>
      </c>
      <c r="E29" s="7" t="inlineStr">
        <is>
          <t>Nová
jedn. cena</t>
        </is>
      </c>
      <c r="F29" s="7" t="inlineStr">
        <is>
          <t>Náklady Q2
AKTUÁLNÍ</t>
        </is>
      </c>
      <c r="G29" s="7" t="inlineStr">
        <is>
          <t>Náklady Q2
NOVÉ</t>
        </is>
      </c>
      <c r="H29" s="7" t="inlineStr">
        <is>
          <t>Rozdíl Q2
(EUR)</t>
        </is>
      </c>
      <c r="I29" s="7" t="inlineStr">
        <is>
          <t>Náklady Q3
AKTUÁLNÍ</t>
        </is>
      </c>
      <c r="J29" s="7" t="inlineStr">
        <is>
          <t>Náklady Q3
NOVÉ</t>
        </is>
      </c>
      <c r="K29" s="7" t="inlineStr">
        <is>
          <t>Rozdíl Q3
(EUR)</t>
        </is>
      </c>
      <c r="L29" s="7" t="inlineStr">
        <is>
          <t>Celkem 6M
AKTUÁLNÍ</t>
        </is>
      </c>
      <c r="M29" s="7" t="inlineStr">
        <is>
          <t>Celkem 6M
NOVÉ</t>
        </is>
      </c>
      <c r="N29" s="7" t="inlineStr">
        <is>
          <t>Celkový rozdíl
6M (EUR)</t>
        </is>
      </c>
    </row>
    <row r="30" ht="15" customHeight="1" s="170">
      <c r="B30" s="163" t="inlineStr">
        <is>
          <t>Sealant130AB (složka A+B)</t>
        </is>
      </c>
      <c r="C30" s="157" t="inlineStr">
        <is>
          <t>EUR/kg</t>
        </is>
      </c>
      <c r="D30" s="239">
        <f>D16</f>
        <v/>
      </c>
      <c r="E30" s="244">
        <f>H16</f>
        <v/>
      </c>
      <c r="F30" s="241">
        <f>D16*E21</f>
        <v/>
      </c>
      <c r="G30" s="189">
        <f>H16*E21</f>
        <v/>
      </c>
      <c r="H30" s="196">
        <f>G30-F30</f>
        <v/>
      </c>
      <c r="I30" s="241">
        <f>D16*F21</f>
        <v/>
      </c>
      <c r="J30" s="189">
        <f>H16*F21</f>
        <v/>
      </c>
      <c r="K30" s="196">
        <f>J30-I30</f>
        <v/>
      </c>
      <c r="L30" s="242">
        <f>F30+I30</f>
        <v/>
      </c>
      <c r="M30" s="189">
        <f>G30+J30</f>
        <v/>
      </c>
      <c r="N30" s="196">
        <f>M30-L30</f>
        <v/>
      </c>
    </row>
    <row r="31" ht="15" customHeight="1" s="170">
      <c r="B31" s="111" t="inlineStr">
        <is>
          <t>CELKEM</t>
        </is>
      </c>
      <c r="C31" s="27" t="n"/>
      <c r="D31" s="27" t="n"/>
      <c r="E31" s="27" t="n"/>
      <c r="F31" s="243">
        <f>SUM(F30:F30)</f>
        <v/>
      </c>
      <c r="G31" s="243">
        <f>SUM(G30:G30)</f>
        <v/>
      </c>
      <c r="H31" s="196">
        <f>SUM(H30:H30)</f>
        <v/>
      </c>
      <c r="I31" s="243">
        <f>SUM(I30:I30)</f>
        <v/>
      </c>
      <c r="J31" s="243">
        <f>SUM(J30:J30)</f>
        <v/>
      </c>
      <c r="K31" s="196">
        <f>SUM(K30:K30)</f>
        <v/>
      </c>
      <c r="L31" s="243">
        <f>SUM(L30:L30)</f>
        <v/>
      </c>
      <c r="M31" s="243">
        <f>SUM(M30:M30)</f>
        <v/>
      </c>
      <c r="N31" s="196">
        <f>SUM(N30:N30)</f>
        <v/>
      </c>
    </row>
    <row r="32"/>
    <row r="33" ht="30" customHeight="1" s="170">
      <c r="B33" s="171" t="inlineStr">
        <is>
          <t>C3) FINANČNÍ DOPAD – SCÉNÁŘ KRIZOVÝ</t>
        </is>
      </c>
      <c r="C33" s="173" t="n"/>
      <c r="D33" s="173" t="n"/>
      <c r="E33" s="173" t="n"/>
      <c r="F33" s="173" t="n"/>
      <c r="G33" s="173" t="n"/>
      <c r="H33" s="173" t="n"/>
      <c r="I33" s="173" t="n"/>
      <c r="J33" s="173" t="n"/>
      <c r="K33" s="173" t="n"/>
      <c r="L33" s="173" t="n"/>
      <c r="M33" s="173" t="n"/>
      <c r="N33" s="173" t="n"/>
    </row>
    <row r="34" ht="25.5" customHeight="1" s="170">
      <c r="B34" s="7" t="inlineStr">
        <is>
          <t>Produkt</t>
        </is>
      </c>
      <c r="C34" s="7" t="n"/>
      <c r="D34" s="7" t="inlineStr">
        <is>
          <t>Aktuální
jedn. cena</t>
        </is>
      </c>
      <c r="E34" s="7" t="inlineStr">
        <is>
          <t>Nová
jedn. cena</t>
        </is>
      </c>
      <c r="F34" s="7" t="inlineStr">
        <is>
          <t>Náklady Q2
AKTUÁLNÍ</t>
        </is>
      </c>
      <c r="G34" s="7" t="inlineStr">
        <is>
          <t>Náklady Q2
NOVÉ</t>
        </is>
      </c>
      <c r="H34" s="7" t="inlineStr">
        <is>
          <t>Rozdíl Q2
(EUR)</t>
        </is>
      </c>
      <c r="I34" s="7" t="inlineStr">
        <is>
          <t>Náklady Q3
AKTUÁLNÍ</t>
        </is>
      </c>
      <c r="J34" s="7" t="inlineStr">
        <is>
          <t>Náklady Q3
NOVÉ</t>
        </is>
      </c>
      <c r="K34" s="7" t="inlineStr">
        <is>
          <t>Rozdíl Q3
(EUR)</t>
        </is>
      </c>
      <c r="L34" s="7" t="inlineStr">
        <is>
          <t>Celkem 6M
AKTUÁLNÍ</t>
        </is>
      </c>
      <c r="M34" s="7" t="inlineStr">
        <is>
          <t>Celkem 6M
NOVÉ</t>
        </is>
      </c>
      <c r="N34" s="7" t="inlineStr">
        <is>
          <t>Celkový rozdíl
6M (EUR)</t>
        </is>
      </c>
    </row>
    <row r="35" ht="15" customHeight="1" s="170">
      <c r="B35" s="163" t="inlineStr">
        <is>
          <t>Sealant130AB (složka A+B)</t>
        </is>
      </c>
      <c r="C35" s="157" t="inlineStr">
        <is>
          <t>EUR/kg</t>
        </is>
      </c>
      <c r="D35" s="239">
        <f>D16</f>
        <v/>
      </c>
      <c r="E35" s="245">
        <f>K16</f>
        <v/>
      </c>
      <c r="F35" s="241">
        <f>D16*E21</f>
        <v/>
      </c>
      <c r="G35" s="193">
        <f>K16*E21</f>
        <v/>
      </c>
      <c r="H35" s="196">
        <f>G35-F35</f>
        <v/>
      </c>
      <c r="I35" s="241">
        <f>D16*F21</f>
        <v/>
      </c>
      <c r="J35" s="193">
        <f>K16*F21</f>
        <v/>
      </c>
      <c r="K35" s="196">
        <f>J35-I35</f>
        <v/>
      </c>
      <c r="L35" s="242">
        <f>F35+I35</f>
        <v/>
      </c>
      <c r="M35" s="193">
        <f>G35+J35</f>
        <v/>
      </c>
      <c r="N35" s="196">
        <f>M35-L35</f>
        <v/>
      </c>
    </row>
    <row r="36" ht="15" customHeight="1" s="170">
      <c r="B36" s="111" t="inlineStr">
        <is>
          <t>CELKEM</t>
        </is>
      </c>
      <c r="C36" s="27" t="n"/>
      <c r="D36" s="27" t="n"/>
      <c r="E36" s="27" t="n"/>
      <c r="F36" s="243">
        <f>SUM(F35:F35)</f>
        <v/>
      </c>
      <c r="G36" s="243">
        <f>SUM(G35:G35)</f>
        <v/>
      </c>
      <c r="H36" s="196">
        <f>SUM(H35:H35)</f>
        <v/>
      </c>
      <c r="I36" s="243">
        <f>SUM(I35:I35)</f>
        <v/>
      </c>
      <c r="J36" s="243">
        <f>SUM(J35:J35)</f>
        <v/>
      </c>
      <c r="K36" s="196">
        <f>SUM(K35:K35)</f>
        <v/>
      </c>
      <c r="L36" s="243">
        <f>SUM(L35:L35)</f>
        <v/>
      </c>
      <c r="M36" s="243">
        <f>SUM(M35:M35)</f>
        <v/>
      </c>
      <c r="N36" s="196">
        <f>SUM(N35:N35)</f>
        <v/>
      </c>
    </row>
    <row r="37"/>
    <row r="38"/>
    <row r="39" ht="26.25" customHeight="1" s="170">
      <c r="B39" s="171" t="inlineStr">
        <is>
          <t>D) PREDIKCE vs. REALITA – POROVNÁNÍ S DODAVATELEM</t>
        </is>
      </c>
      <c r="C39" s="173" t="n"/>
      <c r="D39" s="173" t="n"/>
      <c r="E39" s="173" t="n"/>
      <c r="F39" s="173" t="n"/>
      <c r="G39" s="173" t="n"/>
      <c r="H39" s="173" t="n"/>
      <c r="I39" s="173" t="n"/>
      <c r="J39" s="173" t="n"/>
      <c r="K39" s="173" t="n"/>
      <c r="L39" s="173" t="n"/>
      <c r="M39" s="173" t="n"/>
      <c r="N39" s="173" t="n"/>
      <c r="O39" s="173" t="n"/>
    </row>
    <row r="40" ht="25.5" customHeight="1" s="170">
      <c r="B40" s="7" t="inlineStr">
        <is>
          <t>Produkt</t>
        </is>
      </c>
      <c r="C40" s="7" t="inlineStr">
        <is>
          <t>Jednotka</t>
        </is>
      </c>
      <c r="D40" s="7" t="inlineStr">
        <is>
          <t>Aktuální
cena</t>
        </is>
      </c>
      <c r="E40" s="7" t="inlineStr">
        <is>
          <t>Predikce
MÍRNÝ</t>
        </is>
      </c>
      <c r="F40" s="7" t="inlineStr">
        <is>
          <t>Predikce
STŘEDNÍ</t>
        </is>
      </c>
      <c r="G40" s="7" t="inlineStr">
        <is>
          <t>Predikce
KRIZOVÝ</t>
        </is>
      </c>
      <c r="H40" s="7" t="inlineStr">
        <is>
          <t>Reálná nová
cena (EUR)</t>
        </is>
      </c>
      <c r="I40" s="7" t="inlineStr">
        <is>
          <t>Reálné
zdražení (%)</t>
        </is>
      </c>
      <c r="J40" s="7" t="inlineStr">
        <is>
          <t>Reálný vs.
Mírný</t>
        </is>
      </c>
      <c r="K40" s="7" t="inlineStr">
        <is>
          <t>Reálný vs.
Střední</t>
        </is>
      </c>
      <c r="L40" s="7" t="inlineStr">
        <is>
          <t>Reálný vs.
Krizový</t>
        </is>
      </c>
      <c r="M40" s="7" t="inlineStr">
        <is>
          <t>Měs. objem</t>
        </is>
      </c>
      <c r="N40" s="7" t="inlineStr">
        <is>
          <t>Reálný dopad
měsíční (EUR)</t>
        </is>
      </c>
      <c r="O40" s="7" t="inlineStr">
        <is>
          <t>Reálný dopad
6M (EUR)</t>
        </is>
      </c>
      <c r="P40" s="154" t="inlineStr">
        <is>
          <t>Zdražení
od</t>
        </is>
      </c>
    </row>
    <row r="41" ht="15" customHeight="1" s="170">
      <c r="B41" s="163" t="inlineStr">
        <is>
          <t>Sealant130AB (složka A+B)</t>
        </is>
      </c>
      <c r="C41" s="157" t="inlineStr">
        <is>
          <t>EUR/kg</t>
        </is>
      </c>
      <c r="D41" s="239">
        <f>D16</f>
        <v/>
      </c>
      <c r="E41" s="240">
        <f>E16</f>
        <v/>
      </c>
      <c r="F41" s="244">
        <f>H16</f>
        <v/>
      </c>
      <c r="G41" s="245">
        <f>K16</f>
        <v/>
      </c>
      <c r="H41" s="48" t="inlineStr">
        <is>
          <t>Doplnit</t>
        </is>
      </c>
      <c r="I41" s="49" t="inlineStr">
        <is>
          <t>Čekáme</t>
        </is>
      </c>
      <c r="J41" s="49" t="inlineStr">
        <is>
          <t>–</t>
        </is>
      </c>
      <c r="K41" s="49" t="inlineStr">
        <is>
          <t>–</t>
        </is>
      </c>
      <c r="L41" s="49" t="inlineStr">
        <is>
          <t>–</t>
        </is>
      </c>
      <c r="M41" s="49" t="inlineStr">
        <is>
          <t>–</t>
        </is>
      </c>
      <c r="N41" s="49" t="inlineStr">
        <is>
          <t>–</t>
        </is>
      </c>
      <c r="O41" s="49" t="inlineStr">
        <is>
          <t>–</t>
        </is>
      </c>
      <c r="P41" s="50" t="inlineStr">
        <is>
          <t>Čekáme</t>
        </is>
      </c>
    </row>
    <row r="42"/>
    <row r="43" ht="15" customHeight="1" s="170">
      <c r="B43" s="165" t="inlineStr">
        <is>
          <t>Status:</t>
        </is>
      </c>
      <c r="C43" s="162" t="inlineStr">
        <is>
          <t>⏳ Čekáme na vyjádření dodavatele. Doplňte reálnou cenu po obdržení nabídky.</t>
        </is>
      </c>
    </row>
  </sheetData>
  <mergeCells count="3">
    <mergeCell ref="B12:J12"/>
    <mergeCell ref="B11:J11"/>
    <mergeCell ref="C43:L43"/>
  </mergeCells>
  <pageMargins left="0.75" right="0.75" top="1" bottom="1" header="0.511811023622047" footer="0.511811023622047"/>
  <pageSetup orientation="portrait" paperSize="9" horizontalDpi="300" verticalDpi="300"/>
  <legacyDrawing xmlns:r="http://schemas.openxmlformats.org/officeDocument/2006/relationships" r:id="anysvml"/>
</worksheet>
</file>

<file path=xl/worksheets/sheet8.xml><?xml version="1.0" encoding="utf-8"?>
<worksheet xmlns="http://schemas.openxmlformats.org/spreadsheetml/2006/main">
  <sheetPr>
    <tabColor rgb="FF880E4F"/>
    <outlinePr summaryBelow="1" summaryRight="1"/>
    <pageSetUpPr/>
  </sheetPr>
  <dimension ref="A1:P49"/>
  <sheetViews>
    <sheetView zoomScaleNormal="100" workbookViewId="0">
      <selection activeCell="A1" sqref="A1"/>
    </sheetView>
  </sheetViews>
  <sheetFormatPr baseColWidth="8" defaultColWidth="8.7109375" defaultRowHeight="15"/>
  <cols>
    <col width="3" customWidth="1" style="170" min="1" max="1"/>
    <col width="32" customWidth="1" style="170" min="2" max="2"/>
    <col width="14" customWidth="1" style="170" min="3" max="16"/>
  </cols>
  <sheetData>
    <row r="1"/>
    <row r="2" ht="32.25" customHeight="1" s="170">
      <c r="B2" s="2" t="inlineStr">
        <is>
          <t>TMEL – SealantBrand116NA (POLYSULFID)</t>
        </is>
      </c>
    </row>
    <row r="3" ht="39" customHeight="1" s="170">
      <c r="B3" s="32" t="inlineStr">
        <is>
          <t>Analýza cenového dopadu růstu energií – Kvartální výhled Q2–Q3 2026</t>
        </is>
      </c>
    </row>
    <row r="4"/>
    <row r="5" ht="26.25" customHeight="1" s="170">
      <c r="B5" s="171" t="inlineStr">
        <is>
          <t>ENERGETICKÝ PROFIL VÝROBY</t>
        </is>
      </c>
      <c r="C5" s="173" t="n"/>
      <c r="D5" s="173" t="n"/>
      <c r="E5" s="173" t="n"/>
      <c r="F5" s="173" t="n"/>
      <c r="G5" s="173" t="n"/>
      <c r="H5" s="173" t="n"/>
      <c r="I5" s="173" t="n"/>
    </row>
    <row r="6" ht="23.25" customHeight="1" s="170">
      <c r="B6" s="34" t="inlineStr">
        <is>
          <t>Závislost na ropě (petrochemie, transport)</t>
        </is>
      </c>
      <c r="C6" s="233" t="n">
        <v>0.55</v>
      </c>
    </row>
    <row r="7" ht="15" customHeight="1" s="170">
      <c r="B7" s="34" t="inlineStr">
        <is>
          <t>Závislost na plynu (energie, suroviny)</t>
        </is>
      </c>
      <c r="C7" s="233" t="n">
        <v>0.45</v>
      </c>
    </row>
    <row r="8" ht="23.25" customHeight="1" s="170">
      <c r="B8" s="34" t="inlineStr">
        <is>
          <t>Podíl energetických nákladů na výr. ceně</t>
        </is>
      </c>
      <c r="C8" s="233" t="n">
        <v>0.3</v>
      </c>
    </row>
    <row r="9"/>
    <row r="10" ht="21.75" customHeight="1" s="170">
      <c r="B10" s="165" t="inlineStr">
        <is>
          <t>VÝROBNÍ PROCES A ENERGETICKÁ NÁROČNOST:</t>
        </is>
      </c>
    </row>
    <row r="11" ht="54.75" customHeight="1" s="170">
      <c r="B11" s="167" t="inlineStr">
        <is>
          <t>GD 116NA je dvousložkový polysulfidový tmel od SealantSupplier1. Složka A (báze) obsahuje polysulfidovou pryskyřici vyráběnou polykondenzací ethylenchloridu (ropný derivát) se síranem sodným. Složka B (tvrdidlo) obsahuje oxidační činidlo (MnO₂). Míchací poměr A:B je cca 10:1 objemově. Výroba probíhá v chemických reaktorech s řízenou teplotou, následuje filtrace, plnění do 190l sudů a kontrola kvality.</t>
        </is>
      </c>
    </row>
    <row r="12" ht="34.5" customHeight="1" s="170">
      <c r="B12" s="168" t="inlineStr">
        <is>
          <t>Střední závislost na ropě (~55 %) přes petrochemické prekurzory (ethylenchlorid). Plyn (~45 %) se využívá v chemických reaktorech a při destilaci. Energetický profil je shodný s Sealant130 – oba jsou polysulfidy.</t>
        </is>
      </c>
    </row>
    <row r="13"/>
    <row r="14" ht="26.25" customHeight="1" s="170">
      <c r="B14" s="171" t="inlineStr">
        <is>
          <t>A) CENOVÝ MODEL – JEDNOTKOVÁ CENA</t>
        </is>
      </c>
      <c r="C14" s="173" t="n"/>
      <c r="D14" s="173" t="n"/>
      <c r="E14" s="173" t="n"/>
      <c r="F14" s="173" t="n"/>
      <c r="G14" s="173" t="n"/>
      <c r="H14" s="173" t="n"/>
      <c r="I14" s="173" t="n"/>
      <c r="J14" s="173" t="n"/>
      <c r="K14" s="173" t="n"/>
      <c r="L14" s="173" t="n"/>
      <c r="M14" s="173" t="n"/>
    </row>
    <row r="15" ht="34.5" customHeight="1" s="170">
      <c r="B15" s="7" t="inlineStr">
        <is>
          <t>Produkt</t>
        </is>
      </c>
      <c r="C15" s="7" t="inlineStr">
        <is>
          <t>Jednotka</t>
        </is>
      </c>
      <c r="D15" s="7" t="inlineStr">
        <is>
          <t>Aktuální cena
(EUR)</t>
        </is>
      </c>
      <c r="E15" s="7" t="inlineStr">
        <is>
          <t>Scénář MÍRNÝ
(nová cena)</t>
        </is>
      </c>
      <c r="F15" s="7" t="inlineStr">
        <is>
          <t>Rozdíl
(EUR)</t>
        </is>
      </c>
      <c r="G15" s="7" t="inlineStr">
        <is>
          <t>Rozdíl
(%)</t>
        </is>
      </c>
      <c r="H15" s="7" t="inlineStr">
        <is>
          <t>Scénář STŘEDNÍ
(nová cena)</t>
        </is>
      </c>
      <c r="I15" s="7" t="inlineStr">
        <is>
          <t>Rozdíl
(EUR)</t>
        </is>
      </c>
      <c r="J15" s="7" t="inlineStr">
        <is>
          <t>Rozdíl
(%)</t>
        </is>
      </c>
      <c r="K15" s="7" t="inlineStr">
        <is>
          <t>Scénář KRIZOVÝ
(nová cena)</t>
        </is>
      </c>
      <c r="L15" s="7" t="inlineStr">
        <is>
          <t>Rozdíl
(EUR)</t>
        </is>
      </c>
      <c r="M15" s="7" t="inlineStr">
        <is>
          <t>Rozdíl
(%)</t>
        </is>
      </c>
    </row>
    <row r="16" ht="15" customHeight="1" s="170">
      <c r="B16" s="163" t="inlineStr">
        <is>
          <t>GD 116NA komp. A (190l)</t>
        </is>
      </c>
      <c r="C16" s="157" t="inlineStr">
        <is>
          <t>EUR/l</t>
        </is>
      </c>
      <c r="D16" s="202" t="n">
        <v>4.32</v>
      </c>
      <c r="E16" s="204">
        <f>D16*(1+C8*(C6*(Ropa_a_plyn!C8-Ropa_a_plyn!C7)/Ropa_a_plyn!C7*0.3+C7*(Ropa_a_plyn!C17-Ropa_a_plyn!C16)/Ropa_a_plyn!C16*0.3))</f>
        <v/>
      </c>
      <c r="F16" s="234">
        <f>E16-D16</f>
        <v/>
      </c>
      <c r="G16" s="235">
        <f>F16/D16</f>
        <v/>
      </c>
      <c r="H16" s="205">
        <f>D16*(1+C8*(C6*(Ropa_a_plyn!C8-Ropa_a_plyn!C7)/Ropa_a_plyn!C7*0.5+C7*(Ropa_a_plyn!C17-Ropa_a_plyn!C16)/Ropa_a_plyn!C16*0.5))</f>
        <v/>
      </c>
      <c r="I16" s="236">
        <f>H16-D16</f>
        <v/>
      </c>
      <c r="J16" s="237">
        <f>I16/D16</f>
        <v/>
      </c>
      <c r="K16" s="206">
        <f>D16*(1+C8*(C6*(Ropa_a_plyn!C8-Ropa_a_plyn!C7)/Ropa_a_plyn!C7*0.75+C7*(Ropa_a_plyn!C17-Ropa_a_plyn!C16)/Ropa_a_plyn!C16*0.75))</f>
        <v/>
      </c>
      <c r="L16" s="238">
        <f>K16-D16</f>
        <v/>
      </c>
      <c r="M16" s="192">
        <f>L16/D16</f>
        <v/>
      </c>
    </row>
    <row r="17" ht="15" customHeight="1" s="170">
      <c r="B17" s="163" t="inlineStr">
        <is>
          <t>GD 116NA komp. B (190l)</t>
        </is>
      </c>
      <c r="C17" s="157" t="inlineStr">
        <is>
          <t>EUR/l</t>
        </is>
      </c>
      <c r="D17" s="202" t="n">
        <v>9.6</v>
      </c>
      <c r="E17" s="204">
        <f>D17*(1+C8*(C6*(Ropa_a_plyn!C8-Ropa_a_plyn!C7)/Ropa_a_plyn!C7*0.3+C7*(Ropa_a_plyn!C17-Ropa_a_plyn!C16)/Ropa_a_plyn!C16*0.3))</f>
        <v/>
      </c>
      <c r="F17" s="234">
        <f>E17-D17</f>
        <v/>
      </c>
      <c r="G17" s="235">
        <f>F17/D17</f>
        <v/>
      </c>
      <c r="H17" s="205">
        <f>D17*(1+C8*(C6*(Ropa_a_plyn!C8-Ropa_a_plyn!C7)/Ropa_a_plyn!C7*0.5+C7*(Ropa_a_plyn!C17-Ropa_a_plyn!C16)/Ropa_a_plyn!C16*0.5))</f>
        <v/>
      </c>
      <c r="I17" s="236">
        <f>H17-D17</f>
        <v/>
      </c>
      <c r="J17" s="237">
        <f>I17/D17</f>
        <v/>
      </c>
      <c r="K17" s="206">
        <f>D17*(1+C8*(C6*(Ropa_a_plyn!C8-Ropa_a_plyn!C7)/Ropa_a_plyn!C7*0.75+C7*(Ropa_a_plyn!C17-Ropa_a_plyn!C16)/Ropa_a_plyn!C16*0.75))</f>
        <v/>
      </c>
      <c r="L17" s="238">
        <f>K17-D17</f>
        <v/>
      </c>
      <c r="M17" s="192">
        <f>L17/D17</f>
        <v/>
      </c>
    </row>
    <row r="18"/>
    <row r="19"/>
    <row r="20" ht="26.25" customHeight="1" s="170">
      <c r="B20" s="171" t="inlineStr">
        <is>
          <t>B) OBJEMY A KVARTÁLNÍ FINANČNÍ DOPAD</t>
        </is>
      </c>
      <c r="C20" s="173" t="n"/>
      <c r="D20" s="173" t="n"/>
      <c r="E20" s="173" t="n"/>
      <c r="F20" s="173" t="n"/>
      <c r="G20" s="173" t="n"/>
      <c r="H20" s="173" t="n"/>
      <c r="I20" s="173" t="n"/>
      <c r="J20" s="173" t="n"/>
      <c r="K20" s="173" t="n"/>
      <c r="L20" s="173" t="n"/>
      <c r="M20" s="173" t="n"/>
      <c r="N20" s="173" t="n"/>
    </row>
    <row r="21" ht="23.25" customHeight="1" s="170">
      <c r="B21" s="7" t="inlineStr">
        <is>
          <t>Produkt</t>
        </is>
      </c>
      <c r="C21" s="7" t="inlineStr">
        <is>
          <t>Jednotka</t>
        </is>
      </c>
      <c r="D21" s="7" t="inlineStr">
        <is>
          <t>Měsíční objem</t>
        </is>
      </c>
      <c r="E21" s="7" t="inlineStr">
        <is>
          <t>Q2 2026
(Dub–Čer)</t>
        </is>
      </c>
      <c r="F21" s="7" t="inlineStr">
        <is>
          <t>Q3 2026
(Čec–Zář)</t>
        </is>
      </c>
      <c r="G21" s="7" t="inlineStr">
        <is>
          <t>Celkem
6 měsíců</t>
        </is>
      </c>
    </row>
    <row r="22" ht="15" customHeight="1" s="170">
      <c r="B22" s="163" t="inlineStr">
        <is>
          <t>GD 116NA komp. A (190l)</t>
        </is>
      </c>
      <c r="C22" s="157" t="inlineStr">
        <is>
          <t>EUR/l</t>
        </is>
      </c>
      <c r="D22" s="40" t="n">
        <v>672</v>
      </c>
      <c r="E22" s="106">
        <f>D22*3</f>
        <v/>
      </c>
      <c r="F22" s="106">
        <f>D22*3</f>
        <v/>
      </c>
      <c r="G22" s="41">
        <f>E22+F22</f>
        <v/>
      </c>
    </row>
    <row r="23" ht="15" customHeight="1" s="170">
      <c r="B23" s="163" t="inlineStr">
        <is>
          <t>GD 116NA komp. B (190l)</t>
        </is>
      </c>
      <c r="C23" s="157" t="inlineStr">
        <is>
          <t>EUR/l</t>
        </is>
      </c>
      <c r="D23" s="40" t="n">
        <v>67</v>
      </c>
      <c r="E23" s="106">
        <f>D23*3</f>
        <v/>
      </c>
      <c r="F23" s="106">
        <f>D23*3</f>
        <v/>
      </c>
      <c r="G23" s="41">
        <f>E23+F23</f>
        <v/>
      </c>
    </row>
    <row r="24"/>
    <row r="25" ht="26.25" customHeight="1" s="170">
      <c r="B25" s="171" t="inlineStr">
        <is>
          <t>C1) FINANČNÍ DOPAD – SCÉNÁŘ MÍRNÝ</t>
        </is>
      </c>
      <c r="C25" s="173" t="n"/>
      <c r="D25" s="173" t="n"/>
      <c r="E25" s="173" t="n"/>
      <c r="F25" s="173" t="n"/>
      <c r="G25" s="173" t="n"/>
      <c r="H25" s="173" t="n"/>
      <c r="I25" s="173" t="n"/>
      <c r="J25" s="173" t="n"/>
      <c r="K25" s="173" t="n"/>
      <c r="L25" s="173" t="n"/>
      <c r="M25" s="173" t="n"/>
      <c r="N25" s="173" t="n"/>
    </row>
    <row r="26" ht="23.25" customHeight="1" s="170">
      <c r="B26" s="7" t="inlineStr">
        <is>
          <t>Produkt</t>
        </is>
      </c>
      <c r="C26" s="7" t="n"/>
      <c r="D26" s="7" t="inlineStr">
        <is>
          <t>Aktuální
jedn. cena</t>
        </is>
      </c>
      <c r="E26" s="7" t="inlineStr">
        <is>
          <t>Nová
jedn. cena</t>
        </is>
      </c>
      <c r="F26" s="7" t="inlineStr">
        <is>
          <t>Náklady Q2
AKTUÁLNÍ</t>
        </is>
      </c>
      <c r="G26" s="7" t="inlineStr">
        <is>
          <t>Náklady Q2
NOVÉ</t>
        </is>
      </c>
      <c r="H26" s="7" t="inlineStr">
        <is>
          <t>Rozdíl Q2
(EUR)</t>
        </is>
      </c>
      <c r="I26" s="7" t="inlineStr">
        <is>
          <t>Náklady Q3
AKTUÁLNÍ</t>
        </is>
      </c>
      <c r="J26" s="7" t="inlineStr">
        <is>
          <t>Náklady Q3
NOVÉ</t>
        </is>
      </c>
      <c r="K26" s="7" t="inlineStr">
        <is>
          <t>Rozdíl Q3
(EUR)</t>
        </is>
      </c>
      <c r="L26" s="7" t="inlineStr">
        <is>
          <t>Celkem 6M
AKTUÁLNÍ</t>
        </is>
      </c>
      <c r="M26" s="7" t="inlineStr">
        <is>
          <t>Celkem 6M
NOVÉ</t>
        </is>
      </c>
      <c r="N26" s="7" t="inlineStr">
        <is>
          <t>Celkový rozdíl
6M (EUR)</t>
        </is>
      </c>
    </row>
    <row r="27" ht="15" customHeight="1" s="170">
      <c r="B27" s="163" t="inlineStr">
        <is>
          <t>GD 116NA komp. A (190l)</t>
        </is>
      </c>
      <c r="C27" s="157" t="inlineStr">
        <is>
          <t>EUR/l</t>
        </is>
      </c>
      <c r="D27" s="239">
        <f>D16</f>
        <v/>
      </c>
      <c r="E27" s="240">
        <f>E16</f>
        <v/>
      </c>
      <c r="F27" s="241">
        <f>D16*E22</f>
        <v/>
      </c>
      <c r="G27" s="186">
        <f>E16*E22</f>
        <v/>
      </c>
      <c r="H27" s="196">
        <f>G27-F27</f>
        <v/>
      </c>
      <c r="I27" s="241">
        <f>D16*F22</f>
        <v/>
      </c>
      <c r="J27" s="186">
        <f>E16*F22</f>
        <v/>
      </c>
      <c r="K27" s="196">
        <f>J27-I27</f>
        <v/>
      </c>
      <c r="L27" s="242">
        <f>F27+I27</f>
        <v/>
      </c>
      <c r="M27" s="186">
        <f>G27+J27</f>
        <v/>
      </c>
      <c r="N27" s="196">
        <f>M27-L27</f>
        <v/>
      </c>
    </row>
    <row r="28" ht="15" customHeight="1" s="170">
      <c r="B28" s="163" t="inlineStr">
        <is>
          <t>GD 116NA komp. B (190l)</t>
        </is>
      </c>
      <c r="C28" s="157" t="inlineStr">
        <is>
          <t>EUR/l</t>
        </is>
      </c>
      <c r="D28" s="239">
        <f>D17</f>
        <v/>
      </c>
      <c r="E28" s="240">
        <f>E17</f>
        <v/>
      </c>
      <c r="F28" s="241">
        <f>D17*E23</f>
        <v/>
      </c>
      <c r="G28" s="186">
        <f>E17*E23</f>
        <v/>
      </c>
      <c r="H28" s="196">
        <f>G28-F28</f>
        <v/>
      </c>
      <c r="I28" s="241">
        <f>D17*F23</f>
        <v/>
      </c>
      <c r="J28" s="186">
        <f>E17*F23</f>
        <v/>
      </c>
      <c r="K28" s="196">
        <f>J28-I28</f>
        <v/>
      </c>
      <c r="L28" s="242">
        <f>F28+I28</f>
        <v/>
      </c>
      <c r="M28" s="186">
        <f>G28+J28</f>
        <v/>
      </c>
      <c r="N28" s="196">
        <f>M28-L28</f>
        <v/>
      </c>
    </row>
    <row r="29" ht="15" customHeight="1" s="170">
      <c r="B29" s="111" t="inlineStr">
        <is>
          <t>CELKEM</t>
        </is>
      </c>
      <c r="C29" s="27" t="n"/>
      <c r="D29" s="27" t="n"/>
      <c r="E29" s="27" t="n"/>
      <c r="F29" s="249">
        <f>SUM(F27:F28)</f>
        <v/>
      </c>
      <c r="G29" s="249">
        <f>SUM(G27:G28)</f>
        <v/>
      </c>
      <c r="H29" s="196">
        <f>SUM(H27:H28)</f>
        <v/>
      </c>
      <c r="I29" s="249">
        <f>SUM(I27:I28)</f>
        <v/>
      </c>
      <c r="J29" s="249">
        <f>SUM(J27:J28)</f>
        <v/>
      </c>
      <c r="K29" s="196">
        <f>SUM(K27:K28)</f>
        <v/>
      </c>
      <c r="L29" s="249">
        <f>SUM(L27:L28)</f>
        <v/>
      </c>
      <c r="M29" s="249">
        <f>SUM(M27:M28)</f>
        <v/>
      </c>
      <c r="N29" s="196">
        <f>SUM(N27:N28)</f>
        <v/>
      </c>
    </row>
    <row r="30"/>
    <row r="31" ht="26.25" customHeight="1" s="170">
      <c r="B31" s="171" t="inlineStr">
        <is>
          <t>C2) FINANČNÍ DOPAD – SCÉNÁŘ STŘEDNÍ</t>
        </is>
      </c>
      <c r="C31" s="173" t="n"/>
      <c r="D31" s="173" t="n"/>
      <c r="E31" s="173" t="n"/>
      <c r="F31" s="173" t="n"/>
      <c r="G31" s="173" t="n"/>
      <c r="H31" s="173" t="n"/>
      <c r="I31" s="173" t="n"/>
      <c r="J31" s="173" t="n"/>
      <c r="K31" s="173" t="n"/>
      <c r="L31" s="173" t="n"/>
      <c r="M31" s="173" t="n"/>
      <c r="N31" s="173" t="n"/>
    </row>
    <row r="32" ht="23.25" customHeight="1" s="170">
      <c r="B32" s="7" t="inlineStr">
        <is>
          <t>Produkt</t>
        </is>
      </c>
      <c r="C32" s="7" t="n"/>
      <c r="D32" s="7" t="inlineStr">
        <is>
          <t>Aktuální
jedn. cena</t>
        </is>
      </c>
      <c r="E32" s="7" t="inlineStr">
        <is>
          <t>Nová
jedn. cena</t>
        </is>
      </c>
      <c r="F32" s="7" t="inlineStr">
        <is>
          <t>Náklady Q2
AKTUÁLNÍ</t>
        </is>
      </c>
      <c r="G32" s="7" t="inlineStr">
        <is>
          <t>Náklady Q2
NOVÉ</t>
        </is>
      </c>
      <c r="H32" s="7" t="inlineStr">
        <is>
          <t>Rozdíl Q2
(EUR)</t>
        </is>
      </c>
      <c r="I32" s="7" t="inlineStr">
        <is>
          <t>Náklady Q3
AKTUÁLNÍ</t>
        </is>
      </c>
      <c r="J32" s="7" t="inlineStr">
        <is>
          <t>Náklady Q3
NOVÉ</t>
        </is>
      </c>
      <c r="K32" s="7" t="inlineStr">
        <is>
          <t>Rozdíl Q3
(EUR)</t>
        </is>
      </c>
      <c r="L32" s="7" t="inlineStr">
        <is>
          <t>Celkem 6M
AKTUÁLNÍ</t>
        </is>
      </c>
      <c r="M32" s="7" t="inlineStr">
        <is>
          <t>Celkem 6M
NOVÉ</t>
        </is>
      </c>
      <c r="N32" s="7" t="inlineStr">
        <is>
          <t>Celkový rozdíl
6M (EUR)</t>
        </is>
      </c>
    </row>
    <row r="33" ht="15" customHeight="1" s="170">
      <c r="B33" s="163" t="inlineStr">
        <is>
          <t>GD 116NA komp. A (190l)</t>
        </is>
      </c>
      <c r="C33" s="157" t="inlineStr">
        <is>
          <t>EUR/l</t>
        </is>
      </c>
      <c r="D33" s="239">
        <f>D16</f>
        <v/>
      </c>
      <c r="E33" s="244">
        <f>H16</f>
        <v/>
      </c>
      <c r="F33" s="241">
        <f>D16*E22</f>
        <v/>
      </c>
      <c r="G33" s="189">
        <f>H16*E22</f>
        <v/>
      </c>
      <c r="H33" s="196">
        <f>G33-F33</f>
        <v/>
      </c>
      <c r="I33" s="241">
        <f>D16*F22</f>
        <v/>
      </c>
      <c r="J33" s="189">
        <f>H16*F22</f>
        <v/>
      </c>
      <c r="K33" s="196">
        <f>J33-I33</f>
        <v/>
      </c>
      <c r="L33" s="242">
        <f>F33+I33</f>
        <v/>
      </c>
      <c r="M33" s="189">
        <f>G33+J33</f>
        <v/>
      </c>
      <c r="N33" s="196">
        <f>M33-L33</f>
        <v/>
      </c>
    </row>
    <row r="34" ht="15" customHeight="1" s="170">
      <c r="B34" s="163" t="inlineStr">
        <is>
          <t>GD 116NA komp. B (190l)</t>
        </is>
      </c>
      <c r="C34" s="157" t="inlineStr">
        <is>
          <t>EUR/l</t>
        </is>
      </c>
      <c r="D34" s="239">
        <f>D17</f>
        <v/>
      </c>
      <c r="E34" s="244">
        <f>H17</f>
        <v/>
      </c>
      <c r="F34" s="241">
        <f>D17*E23</f>
        <v/>
      </c>
      <c r="G34" s="189">
        <f>H17*E23</f>
        <v/>
      </c>
      <c r="H34" s="196">
        <f>G34-F34</f>
        <v/>
      </c>
      <c r="I34" s="241">
        <f>D17*F23</f>
        <v/>
      </c>
      <c r="J34" s="189">
        <f>H17*F23</f>
        <v/>
      </c>
      <c r="K34" s="196">
        <f>J34-I34</f>
        <v/>
      </c>
      <c r="L34" s="242">
        <f>F34+I34</f>
        <v/>
      </c>
      <c r="M34" s="189">
        <f>G34+J34</f>
        <v/>
      </c>
      <c r="N34" s="196">
        <f>M34-L34</f>
        <v/>
      </c>
    </row>
    <row r="35" ht="15" customHeight="1" s="170">
      <c r="B35" s="111" t="inlineStr">
        <is>
          <t>CELKEM</t>
        </is>
      </c>
      <c r="C35" s="27" t="n"/>
      <c r="D35" s="27" t="n"/>
      <c r="E35" s="27" t="n"/>
      <c r="F35" s="249">
        <f>SUM(F33:F34)</f>
        <v/>
      </c>
      <c r="G35" s="249">
        <f>SUM(G33:G34)</f>
        <v/>
      </c>
      <c r="H35" s="196">
        <f>SUM(H33:H34)</f>
        <v/>
      </c>
      <c r="I35" s="249">
        <f>SUM(I33:I34)</f>
        <v/>
      </c>
      <c r="J35" s="249">
        <f>SUM(J33:J34)</f>
        <v/>
      </c>
      <c r="K35" s="196">
        <f>SUM(K33:K34)</f>
        <v/>
      </c>
      <c r="L35" s="249">
        <f>SUM(L33:L34)</f>
        <v/>
      </c>
      <c r="M35" s="249">
        <f>SUM(M33:M34)</f>
        <v/>
      </c>
      <c r="N35" s="196">
        <f>SUM(N33:N34)</f>
        <v/>
      </c>
    </row>
    <row r="36"/>
    <row r="37" ht="26.25" customHeight="1" s="170">
      <c r="B37" s="171" t="inlineStr">
        <is>
          <t>C3) FINANČNÍ DOPAD – SCÉNÁŘ KRIZOVÝ</t>
        </is>
      </c>
      <c r="C37" s="173" t="n"/>
      <c r="D37" s="173" t="n"/>
      <c r="E37" s="173" t="n"/>
      <c r="F37" s="173" t="n"/>
      <c r="G37" s="173" t="n"/>
      <c r="H37" s="173" t="n"/>
      <c r="I37" s="173" t="n"/>
      <c r="J37" s="173" t="n"/>
      <c r="K37" s="173" t="n"/>
      <c r="L37" s="173" t="n"/>
      <c r="M37" s="173" t="n"/>
      <c r="N37" s="173" t="n"/>
    </row>
    <row r="38" ht="23.25" customHeight="1" s="170">
      <c r="B38" s="7" t="inlineStr">
        <is>
          <t>Produkt</t>
        </is>
      </c>
      <c r="C38" s="7" t="n"/>
      <c r="D38" s="7" t="inlineStr">
        <is>
          <t>Aktuální
jedn. cena</t>
        </is>
      </c>
      <c r="E38" s="7" t="inlineStr">
        <is>
          <t>Nová
jedn. cena</t>
        </is>
      </c>
      <c r="F38" s="7" t="inlineStr">
        <is>
          <t>Náklady Q2
AKTUÁLNÍ</t>
        </is>
      </c>
      <c r="G38" s="7" t="inlineStr">
        <is>
          <t>Náklady Q2
NOVÉ</t>
        </is>
      </c>
      <c r="H38" s="7" t="inlineStr">
        <is>
          <t>Rozdíl Q2
(EUR)</t>
        </is>
      </c>
      <c r="I38" s="7" t="inlineStr">
        <is>
          <t>Náklady Q3
AKTUÁLNÍ</t>
        </is>
      </c>
      <c r="J38" s="7" t="inlineStr">
        <is>
          <t>Náklady Q3
NOVÉ</t>
        </is>
      </c>
      <c r="K38" s="7" t="inlineStr">
        <is>
          <t>Rozdíl Q3
(EUR)</t>
        </is>
      </c>
      <c r="L38" s="7" t="inlineStr">
        <is>
          <t>Celkem 6M
AKTUÁLNÍ</t>
        </is>
      </c>
      <c r="M38" s="7" t="inlineStr">
        <is>
          <t>Celkem 6M
NOVÉ</t>
        </is>
      </c>
      <c r="N38" s="7" t="inlineStr">
        <is>
          <t>Celkový rozdíl
6M (EUR)</t>
        </is>
      </c>
    </row>
    <row r="39" ht="15" customHeight="1" s="170">
      <c r="B39" s="163" t="inlineStr">
        <is>
          <t>GD 116NA komp. A (190l)</t>
        </is>
      </c>
      <c r="C39" s="157" t="inlineStr">
        <is>
          <t>EUR/l</t>
        </is>
      </c>
      <c r="D39" s="239">
        <f>D16</f>
        <v/>
      </c>
      <c r="E39" s="245">
        <f>K16</f>
        <v/>
      </c>
      <c r="F39" s="241">
        <f>D16*E22</f>
        <v/>
      </c>
      <c r="G39" s="193">
        <f>K16*E22</f>
        <v/>
      </c>
      <c r="H39" s="196">
        <f>G39-F39</f>
        <v/>
      </c>
      <c r="I39" s="241">
        <f>D16*F22</f>
        <v/>
      </c>
      <c r="J39" s="193">
        <f>K16*F22</f>
        <v/>
      </c>
      <c r="K39" s="196">
        <f>J39-I39</f>
        <v/>
      </c>
      <c r="L39" s="242">
        <f>F39+I39</f>
        <v/>
      </c>
      <c r="M39" s="193">
        <f>G39+J39</f>
        <v/>
      </c>
      <c r="N39" s="196">
        <f>M39-L39</f>
        <v/>
      </c>
    </row>
    <row r="40" ht="15" customHeight="1" s="170">
      <c r="B40" s="163" t="inlineStr">
        <is>
          <t>GD 116NA komp. B (190l)</t>
        </is>
      </c>
      <c r="C40" s="157" t="inlineStr">
        <is>
          <t>EUR/l</t>
        </is>
      </c>
      <c r="D40" s="239">
        <f>D17</f>
        <v/>
      </c>
      <c r="E40" s="245">
        <f>K17</f>
        <v/>
      </c>
      <c r="F40" s="241">
        <f>D17*E23</f>
        <v/>
      </c>
      <c r="G40" s="193">
        <f>K17*E23</f>
        <v/>
      </c>
      <c r="H40" s="196">
        <f>G40-F40</f>
        <v/>
      </c>
      <c r="I40" s="241">
        <f>D17*F23</f>
        <v/>
      </c>
      <c r="J40" s="193">
        <f>K17*F23</f>
        <v/>
      </c>
      <c r="K40" s="196">
        <f>J40-I40</f>
        <v/>
      </c>
      <c r="L40" s="242">
        <f>F40+I40</f>
        <v/>
      </c>
      <c r="M40" s="193">
        <f>G40+J40</f>
        <v/>
      </c>
      <c r="N40" s="196">
        <f>M40-L40</f>
        <v/>
      </c>
    </row>
    <row r="41" ht="15" customHeight="1" s="170">
      <c r="B41" s="111" t="inlineStr">
        <is>
          <t>CELKEM</t>
        </is>
      </c>
      <c r="C41" s="27" t="n"/>
      <c r="D41" s="27" t="n"/>
      <c r="E41" s="27" t="n"/>
      <c r="F41" s="249">
        <f>SUM(F39:F40)</f>
        <v/>
      </c>
      <c r="G41" s="249">
        <f>SUM(G39:G40)</f>
        <v/>
      </c>
      <c r="H41" s="196">
        <f>SUM(H39:H40)</f>
        <v/>
      </c>
      <c r="I41" s="249">
        <f>SUM(I39:I40)</f>
        <v/>
      </c>
      <c r="J41" s="249">
        <f>SUM(J39:J40)</f>
        <v/>
      </c>
      <c r="K41" s="196">
        <f>SUM(K39:K40)</f>
        <v/>
      </c>
      <c r="L41" s="249">
        <f>SUM(L39:L40)</f>
        <v/>
      </c>
      <c r="M41" s="249">
        <f>SUM(M39:M40)</f>
        <v/>
      </c>
      <c r="N41" s="196">
        <f>SUM(N39:N40)</f>
        <v/>
      </c>
    </row>
    <row r="42"/>
    <row r="43"/>
    <row r="44" ht="26.25" customHeight="1" s="170">
      <c r="B44" s="171" t="inlineStr">
        <is>
          <t>D) PREDIKCE vs. REALITA – POROVNÁNÍ S DODAVATELEM</t>
        </is>
      </c>
      <c r="C44" s="173" t="n"/>
      <c r="D44" s="173" t="n"/>
      <c r="E44" s="173" t="n"/>
      <c r="F44" s="173" t="n"/>
      <c r="G44" s="173" t="n"/>
      <c r="H44" s="173" t="n"/>
      <c r="I44" s="173" t="n"/>
      <c r="J44" s="173" t="n"/>
      <c r="K44" s="173" t="n"/>
      <c r="L44" s="173" t="n"/>
      <c r="M44" s="173" t="n"/>
      <c r="N44" s="173" t="n"/>
      <c r="O44" s="173" t="n"/>
      <c r="P44" s="173" t="n"/>
    </row>
    <row r="45" ht="23.25" customHeight="1" s="170">
      <c r="B45" s="7" t="inlineStr">
        <is>
          <t>Produkt</t>
        </is>
      </c>
      <c r="C45" s="7" t="inlineStr">
        <is>
          <t>Jednotka</t>
        </is>
      </c>
      <c r="D45" s="7" t="inlineStr">
        <is>
          <t>Aktuální
cena</t>
        </is>
      </c>
      <c r="E45" s="7" t="inlineStr">
        <is>
          <t>Predikce
MÍRNÝ</t>
        </is>
      </c>
      <c r="F45" s="7" t="inlineStr">
        <is>
          <t>Predikce
STŘEDNÍ</t>
        </is>
      </c>
      <c r="G45" s="7" t="inlineStr">
        <is>
          <t>Predikce
KRIZOVÝ</t>
        </is>
      </c>
      <c r="H45" s="7" t="inlineStr">
        <is>
          <t>Reálná nová
cena (EUR)</t>
        </is>
      </c>
      <c r="I45" s="7" t="inlineStr">
        <is>
          <t>Reálné
zdražení (%)</t>
        </is>
      </c>
      <c r="J45" s="7" t="inlineStr">
        <is>
          <t>Reálný vs.
Mírný</t>
        </is>
      </c>
      <c r="K45" s="7" t="inlineStr">
        <is>
          <t>Reálný vs.
Střední</t>
        </is>
      </c>
      <c r="L45" s="7" t="inlineStr">
        <is>
          <t>Reálný vs.
Krizový</t>
        </is>
      </c>
      <c r="M45" s="7" t="inlineStr">
        <is>
          <t>Měs. objem</t>
        </is>
      </c>
      <c r="N45" s="7" t="inlineStr">
        <is>
          <t>Reálný dopad
měsíční (EUR)</t>
        </is>
      </c>
      <c r="O45" s="7" t="inlineStr">
        <is>
          <t>Reálný dopad
6M (EUR)</t>
        </is>
      </c>
      <c r="P45" s="7" t="inlineStr">
        <is>
          <t>Zdražení
od</t>
        </is>
      </c>
    </row>
    <row r="46" ht="15" customHeight="1" s="170">
      <c r="B46" s="163" t="inlineStr">
        <is>
          <t>GD 116NA komp. A (190l)</t>
        </is>
      </c>
      <c r="C46" s="157" t="inlineStr">
        <is>
          <t>EUR/l</t>
        </is>
      </c>
      <c r="D46" s="239">
        <f>D16</f>
        <v/>
      </c>
      <c r="E46" s="240">
        <f>E16</f>
        <v/>
      </c>
      <c r="F46" s="244">
        <f>H16</f>
        <v/>
      </c>
      <c r="G46" s="245">
        <f>K16</f>
        <v/>
      </c>
      <c r="H46" s="246" t="n">
        <v>4.752</v>
      </c>
      <c r="I46" s="247" t="n">
        <v>0.1</v>
      </c>
      <c r="J46" s="248">
        <f>H46-E46</f>
        <v/>
      </c>
      <c r="K46" s="248">
        <f>H46-F46</f>
        <v/>
      </c>
      <c r="L46" s="248">
        <f>H46-G46</f>
        <v/>
      </c>
      <c r="M46" s="118" t="n">
        <v>672</v>
      </c>
      <c r="N46" s="196">
        <f>(H46-D46)*M46</f>
        <v/>
      </c>
      <c r="O46" s="196">
        <f>N46*6</f>
        <v/>
      </c>
      <c r="P46" s="47" t="inlineStr">
        <is>
          <t>1.4.2026</t>
        </is>
      </c>
    </row>
    <row r="47" ht="15" customHeight="1" s="170">
      <c r="B47" s="163" t="inlineStr">
        <is>
          <t>GD 116NA komp. B (190l)</t>
        </is>
      </c>
      <c r="C47" s="157" t="inlineStr">
        <is>
          <t>EUR/l</t>
        </is>
      </c>
      <c r="D47" s="239">
        <f>D17</f>
        <v/>
      </c>
      <c r="E47" s="240">
        <f>E17</f>
        <v/>
      </c>
      <c r="F47" s="244">
        <f>H17</f>
        <v/>
      </c>
      <c r="G47" s="245">
        <f>K17</f>
        <v/>
      </c>
      <c r="H47" s="246" t="n">
        <v>10.56</v>
      </c>
      <c r="I47" s="247" t="n">
        <v>0.1</v>
      </c>
      <c r="J47" s="248">
        <f>H47-E47</f>
        <v/>
      </c>
      <c r="K47" s="248">
        <f>H47-F47</f>
        <v/>
      </c>
      <c r="L47" s="248">
        <f>H47-G47</f>
        <v/>
      </c>
      <c r="M47" s="118" t="n">
        <v>67</v>
      </c>
      <c r="N47" s="196">
        <f>(H47-D47)*M47</f>
        <v/>
      </c>
      <c r="O47" s="196">
        <f>N47*6</f>
        <v/>
      </c>
      <c r="P47" s="47" t="inlineStr">
        <is>
          <t>1.4.2026</t>
        </is>
      </c>
    </row>
    <row r="48"/>
    <row r="49" ht="15" customHeight="1" s="170">
      <c r="B49" s="165" t="inlineStr">
        <is>
          <t>Status:</t>
        </is>
      </c>
      <c r="C49" s="169" t="inlineStr">
        <is>
          <t>✅ Potvrzeno dodavatelem: SealantSupplier1 zdražuje o 10 % od 1.4.2026 (stejně jako Butyl GD 115).</t>
        </is>
      </c>
    </row>
  </sheetData>
  <mergeCells count="3">
    <mergeCell ref="B12:J12"/>
    <mergeCell ref="B11:J11"/>
    <mergeCell ref="C49:L49"/>
  </mergeCells>
  <pageMargins left="0.75" right="0.75" top="1" bottom="1" header="0.511811023622047" footer="0.511811023622047"/>
  <pageSetup orientation="portrait" paperSize="9" horizontalDpi="300" verticalDpi="300"/>
  <legacyDrawing xmlns:r="http://schemas.openxmlformats.org/officeDocument/2006/relationships" r:id="anysvml"/>
</worksheet>
</file>

<file path=xl/worksheets/sheet9.xml><?xml version="1.0" encoding="utf-8"?>
<worksheet xmlns="http://schemas.openxmlformats.org/spreadsheetml/2006/main">
  <sheetPr>
    <tabColor rgb="FF006400"/>
    <outlinePr summaryBelow="1" summaryRight="1"/>
    <pageSetUpPr/>
  </sheetPr>
  <dimension ref="A1:P49"/>
  <sheetViews>
    <sheetView topLeftCell="A4" zoomScaleNormal="100" workbookViewId="0">
      <selection activeCell="K16" sqref="K16"/>
    </sheetView>
  </sheetViews>
  <sheetFormatPr baseColWidth="8" defaultColWidth="8.7109375" defaultRowHeight="15"/>
  <cols>
    <col width="3" customWidth="1" style="170" min="1" max="1"/>
    <col width="32" customWidth="1" style="170" min="2" max="2"/>
    <col width="14" customWidth="1" style="170" min="3" max="16"/>
  </cols>
  <sheetData>
    <row r="1"/>
    <row r="2" ht="18" customHeight="1" s="170">
      <c r="B2" s="2" t="inlineStr">
        <is>
          <t>SILIKON – SiliconeSupplier</t>
        </is>
      </c>
    </row>
    <row r="3" ht="45" customHeight="1" s="170">
      <c r="B3" s="32" t="inlineStr">
        <is>
          <t>Analýza cenového dopadu růstu energií – Kvartální výhled Q2–Q3 2026</t>
        </is>
      </c>
    </row>
    <row r="4"/>
    <row r="5" ht="30" customHeight="1" s="170">
      <c r="B5" s="171" t="inlineStr">
        <is>
          <t>ENERGETICKÝ PROFIL VÝROBY</t>
        </is>
      </c>
      <c r="C5" s="173" t="n"/>
      <c r="D5" s="173" t="n"/>
      <c r="E5" s="173" t="n"/>
      <c r="F5" s="173" t="n"/>
      <c r="G5" s="173" t="n"/>
      <c r="H5" s="173" t="n"/>
      <c r="I5" s="173" t="n"/>
    </row>
    <row r="6" ht="25.5" customHeight="1" s="170">
      <c r="B6" s="34" t="inlineStr">
        <is>
          <t>Závislost na ropě (petrochemie, transport)</t>
        </is>
      </c>
      <c r="C6" s="233" t="n">
        <v>0.4</v>
      </c>
    </row>
    <row r="7" ht="15" customHeight="1" s="170">
      <c r="B7" s="34" t="inlineStr">
        <is>
          <t>Závislost na plynu (energie, suroviny)</t>
        </is>
      </c>
      <c r="C7" s="233" t="n">
        <v>0.6</v>
      </c>
    </row>
    <row r="8" ht="25.5" customHeight="1" s="170">
      <c r="B8" s="34" t="inlineStr">
        <is>
          <t>Podíl energetických nákladů na výr. ceně</t>
        </is>
      </c>
      <c r="C8" s="233" t="n">
        <v>0.3</v>
      </c>
    </row>
    <row r="9"/>
    <row r="10" ht="24" customHeight="1" s="170">
      <c r="B10" s="165" t="inlineStr">
        <is>
          <t>VÝROBNÍ PROCES A ENERGETICKÁ NÁROČNOST:</t>
        </is>
      </c>
    </row>
    <row r="11" ht="49.5" customHeight="1" s="170">
      <c r="B11" s="167" t="inlineStr">
        <is>
          <t>Silikonové tmely se vyrábějí z křemíku a methanolu. Methanol se primárně vyrábí ze zemního plynu (syntézní plyn). Křemík se získává redukcí křemenného písku v elektrickém oblouku – zde je klíčová elektrická energie, která v Evropě částečně pochází z plynu. Silikonový polymer (PDMS) vzniká hydrolýzou dimethyldichlorsilanu.</t>
        </is>
      </c>
    </row>
    <row r="12" ht="39.75" customHeight="1" s="170">
      <c r="B12" s="168" t="inlineStr">
        <is>
          <t>Vyšší závislost na plynu (~60 %) – methanol jako klíčová surovina pochází ze zemního plynu. Ropa (~40 %) ovlivňuje transport a některé aditivní složky.</t>
        </is>
      </c>
    </row>
    <row r="13"/>
    <row r="14" ht="30" customHeight="1" s="170">
      <c r="B14" s="171" t="inlineStr">
        <is>
          <t>A) CENOVÝ MODEL – JEDNOTKOVÁ CENA</t>
        </is>
      </c>
      <c r="C14" s="173" t="n"/>
      <c r="D14" s="173" t="n"/>
      <c r="E14" s="173" t="n"/>
      <c r="F14" s="173" t="n"/>
      <c r="G14" s="173" t="n"/>
      <c r="H14" s="173" t="n"/>
      <c r="I14" s="173" t="n"/>
      <c r="J14" s="173" t="n"/>
      <c r="K14" s="173" t="n"/>
    </row>
    <row r="15" ht="38.25" customHeight="1" s="170">
      <c r="B15" s="7" t="inlineStr">
        <is>
          <t>Produkt</t>
        </is>
      </c>
      <c r="C15" s="7" t="inlineStr">
        <is>
          <t>Jednotka</t>
        </is>
      </c>
      <c r="D15" s="7" t="inlineStr">
        <is>
          <t>Aktuální cena
(EUR)</t>
        </is>
      </c>
      <c r="E15" s="7" t="inlineStr">
        <is>
          <t>Scénář MÍRNÝ
(nová cena)</t>
        </is>
      </c>
      <c r="F15" s="7" t="inlineStr">
        <is>
          <t>Rozdíl
(EUR)</t>
        </is>
      </c>
      <c r="G15" s="7" t="inlineStr">
        <is>
          <t>Rozdíl
(%)</t>
        </is>
      </c>
      <c r="H15" s="7" t="inlineStr">
        <is>
          <t>Scénář STŘEDNÍ
(nová cena)</t>
        </is>
      </c>
      <c r="I15" s="7" t="inlineStr">
        <is>
          <t>Rozdíl
(EUR)</t>
        </is>
      </c>
      <c r="J15" s="7" t="inlineStr">
        <is>
          <t>Rozdíl
(%)</t>
        </is>
      </c>
      <c r="K15" s="7" t="inlineStr">
        <is>
          <t>Scénář KRIZOVÝ
(nová cena)</t>
        </is>
      </c>
      <c r="L15" s="7" t="inlineStr">
        <is>
          <t>Rozdíl
(EUR)</t>
        </is>
      </c>
      <c r="M15" s="7" t="inlineStr">
        <is>
          <t>Rozdíl
(%)</t>
        </is>
      </c>
    </row>
    <row r="16" ht="15" customHeight="1" s="170">
      <c r="B16" s="163" t="inlineStr">
        <is>
          <t>SiliconeSealant25 A (260 kg)</t>
        </is>
      </c>
      <c r="C16" s="157" t="inlineStr">
        <is>
          <t>EUR/kg</t>
        </is>
      </c>
      <c r="D16" s="202" t="n">
        <v>3.82</v>
      </c>
      <c r="E16" s="204">
        <f>D16*(1+C8*(C6*(Ropa_a_plyn!C8-Ropa_a_plyn!C7)/Ropa_a_plyn!C7*0.3+C7*(Ropa_a_plyn!C17-Ropa_a_plyn!C16)/Ropa_a_plyn!C16*0.3))</f>
        <v/>
      </c>
      <c r="F16" s="234">
        <f>E16-D16</f>
        <v/>
      </c>
      <c r="G16" s="235">
        <f>F16/D16</f>
        <v/>
      </c>
      <c r="H16" s="205">
        <f>D16*(1+C8*(C6*(Ropa_a_plyn!C8-Ropa_a_plyn!C7)/Ropa_a_plyn!C7*0.5+C7*(Ropa_a_plyn!C17-Ropa_a_plyn!C16)/Ropa_a_plyn!C16*0.5))</f>
        <v/>
      </c>
      <c r="I16" s="236">
        <f>H16-D16</f>
        <v/>
      </c>
      <c r="J16" s="237">
        <f>I16/D16</f>
        <v/>
      </c>
      <c r="K16" s="206">
        <f>D16*(1+C8*(C6*(Ropa_a_plyn!C8-Ropa_a_plyn!C7)/Ropa_a_plyn!C7*0.75+C7*(Ropa_a_plyn!C17-Ropa_a_plyn!C16)/Ropa_a_plyn!C16*0.75))</f>
        <v/>
      </c>
      <c r="L16" s="238">
        <f>K16-D16</f>
        <v/>
      </c>
      <c r="M16" s="192">
        <f>L16/D16</f>
        <v/>
      </c>
    </row>
    <row r="17" ht="15" customHeight="1" s="170">
      <c r="B17" s="163" t="inlineStr">
        <is>
          <t>SiliconeSealant25 B (20 kg)</t>
        </is>
      </c>
      <c r="C17" s="157" t="inlineStr">
        <is>
          <t>EUR/kg</t>
        </is>
      </c>
      <c r="D17" s="202" t="n">
        <v>17.5</v>
      </c>
      <c r="E17" s="204">
        <f>D17*(1+C8*(C6*(Ropa_a_plyn!C8-Ropa_a_plyn!C7)/Ropa_a_plyn!C7*0.3+C7*(Ropa_a_plyn!C17-Ropa_a_plyn!C16)/Ropa_a_plyn!C16*0.3))</f>
        <v/>
      </c>
      <c r="F17" s="234">
        <f>E17-D17</f>
        <v/>
      </c>
      <c r="G17" s="235">
        <f>F17/D17</f>
        <v/>
      </c>
      <c r="H17" s="205">
        <f>D17*(1+C8*(C6*(Ropa_a_plyn!C8-Ropa_a_plyn!C7)/Ropa_a_plyn!C7*0.5+C7*(Ropa_a_plyn!C17-Ropa_a_plyn!C16)/Ropa_a_plyn!C16*0.5))</f>
        <v/>
      </c>
      <c r="I17" s="236">
        <f>H17-D17</f>
        <v/>
      </c>
      <c r="J17" s="237">
        <f>I17/D17</f>
        <v/>
      </c>
      <c r="K17" s="206">
        <f>D17*(1+C8*(C6*(Ropa_a_plyn!C8-Ropa_a_plyn!C7)/Ropa_a_plyn!C7*0.75+C7*(Ropa_a_plyn!C17-Ropa_a_plyn!C16)/Ropa_a_plyn!C16*0.75))</f>
        <v/>
      </c>
      <c r="L17" s="238">
        <f>K17-D17</f>
        <v/>
      </c>
      <c r="M17" s="192">
        <f>L17/D17</f>
        <v/>
      </c>
    </row>
    <row r="18"/>
    <row r="19"/>
    <row r="20" ht="30" customHeight="1" s="170">
      <c r="B20" s="171" t="inlineStr">
        <is>
          <t>B) OBJEMY A KVARTÁLNÍ FINANČNÍ DOPAD</t>
        </is>
      </c>
      <c r="C20" s="173" t="n"/>
      <c r="D20" s="173" t="n"/>
      <c r="E20" s="173" t="n"/>
      <c r="F20" s="173" t="n"/>
      <c r="G20" s="173" t="n"/>
      <c r="H20" s="173" t="n"/>
      <c r="I20" s="173" t="n"/>
      <c r="J20" s="173" t="n"/>
      <c r="K20" s="173" t="n"/>
      <c r="L20" s="173" t="n"/>
      <c r="M20" s="173" t="n"/>
      <c r="N20" s="173" t="n"/>
    </row>
    <row r="21" ht="25.5" customHeight="1" s="170">
      <c r="B21" s="7" t="inlineStr">
        <is>
          <t>Produkt</t>
        </is>
      </c>
      <c r="C21" s="7" t="inlineStr">
        <is>
          <t>Jednotka</t>
        </is>
      </c>
      <c r="D21" s="7" t="inlineStr">
        <is>
          <t>Měsíční objem</t>
        </is>
      </c>
      <c r="E21" s="7" t="inlineStr">
        <is>
          <t>Q2 2026
(Dub–Čer)</t>
        </is>
      </c>
      <c r="F21" s="7" t="inlineStr">
        <is>
          <t>Q3 2026
(Čec–Zář)</t>
        </is>
      </c>
      <c r="G21" s="7" t="inlineStr">
        <is>
          <t>Celkem
6 měsíců</t>
        </is>
      </c>
    </row>
    <row r="22" ht="15" customHeight="1" s="170">
      <c r="B22" s="163" t="inlineStr">
        <is>
          <t>SiliconeSealant25 A (260 kg)</t>
        </is>
      </c>
      <c r="C22" s="157" t="inlineStr">
        <is>
          <t>EUR/kg</t>
        </is>
      </c>
      <c r="D22" s="40" t="n">
        <v>1200</v>
      </c>
      <c r="E22" s="106">
        <f>D22*3</f>
        <v/>
      </c>
      <c r="F22" s="106">
        <f>D22*3</f>
        <v/>
      </c>
      <c r="G22" s="41">
        <f>E22+F22</f>
        <v/>
      </c>
    </row>
    <row r="23" ht="15" customHeight="1" s="170">
      <c r="B23" s="163" t="inlineStr">
        <is>
          <t>SiliconeSealant25 B (20 kg)</t>
        </is>
      </c>
      <c r="C23" s="157" t="inlineStr">
        <is>
          <t>EUR/kg</t>
        </is>
      </c>
      <c r="D23" s="40" t="n">
        <v>100</v>
      </c>
      <c r="E23" s="106">
        <f>D23*3</f>
        <v/>
      </c>
      <c r="F23" s="106">
        <f>D23*3</f>
        <v/>
      </c>
      <c r="G23" s="41">
        <f>E23+F23</f>
        <v/>
      </c>
    </row>
    <row r="24"/>
    <row r="25" ht="30" customHeight="1" s="170">
      <c r="B25" s="171" t="inlineStr">
        <is>
          <t>C1) FINANČNÍ DOPAD – SCÉNÁŘ MÍRNÝ</t>
        </is>
      </c>
      <c r="C25" s="173" t="n"/>
      <c r="D25" s="173" t="n"/>
      <c r="E25" s="173" t="n"/>
      <c r="F25" s="173" t="n"/>
      <c r="G25" s="173" t="n"/>
      <c r="H25" s="173" t="n"/>
      <c r="I25" s="173" t="n"/>
      <c r="J25" s="173" t="n"/>
      <c r="K25" s="173" t="n"/>
      <c r="L25" s="173" t="n"/>
      <c r="M25" s="173" t="n"/>
      <c r="N25" s="173" t="n"/>
    </row>
    <row r="26" ht="25.5" customHeight="1" s="170">
      <c r="B26" s="7" t="inlineStr">
        <is>
          <t>Produkt</t>
        </is>
      </c>
      <c r="C26" s="7" t="n"/>
      <c r="D26" s="7" t="inlineStr">
        <is>
          <t>Aktuální
jedn. cena</t>
        </is>
      </c>
      <c r="E26" s="7" t="inlineStr">
        <is>
          <t>Nová
jedn. cena</t>
        </is>
      </c>
      <c r="F26" s="7" t="inlineStr">
        <is>
          <t>Náklady Q2
AKTUÁLNÍ</t>
        </is>
      </c>
      <c r="G26" s="7" t="inlineStr">
        <is>
          <t>Náklady Q2
NOVÉ</t>
        </is>
      </c>
      <c r="H26" s="7" t="inlineStr">
        <is>
          <t>Rozdíl Q2
(EUR)</t>
        </is>
      </c>
      <c r="I26" s="7" t="inlineStr">
        <is>
          <t>Náklady Q3
AKTUÁLNÍ</t>
        </is>
      </c>
      <c r="J26" s="7" t="inlineStr">
        <is>
          <t>Náklady Q3
NOVÉ</t>
        </is>
      </c>
      <c r="K26" s="7" t="inlineStr">
        <is>
          <t>Rozdíl Q3
(EUR)</t>
        </is>
      </c>
      <c r="L26" s="7" t="inlineStr">
        <is>
          <t>Celkem 6M
AKTUÁLNÍ</t>
        </is>
      </c>
      <c r="M26" s="7" t="inlineStr">
        <is>
          <t>Celkem 6M
NOVÉ</t>
        </is>
      </c>
      <c r="N26" s="7" t="inlineStr">
        <is>
          <t>Celkový rozdíl
6M (EUR)</t>
        </is>
      </c>
    </row>
    <row r="27" ht="15" customHeight="1" s="170">
      <c r="B27" s="163" t="inlineStr">
        <is>
          <t>SiliconeSealant25 A (260 kg)</t>
        </is>
      </c>
      <c r="C27" s="157" t="inlineStr">
        <is>
          <t>EUR/kg</t>
        </is>
      </c>
      <c r="D27" s="239">
        <f>D16</f>
        <v/>
      </c>
      <c r="E27" s="240">
        <f>E16</f>
        <v/>
      </c>
      <c r="F27" s="241">
        <f>D16*E22</f>
        <v/>
      </c>
      <c r="G27" s="186">
        <f>E16*E22</f>
        <v/>
      </c>
      <c r="H27" s="196">
        <f>G27-F27</f>
        <v/>
      </c>
      <c r="I27" s="241">
        <f>D16*F22</f>
        <v/>
      </c>
      <c r="J27" s="186">
        <f>E16*F22</f>
        <v/>
      </c>
      <c r="K27" s="196">
        <f>J27-I27</f>
        <v/>
      </c>
      <c r="L27" s="242">
        <f>F27+I27</f>
        <v/>
      </c>
      <c r="M27" s="186">
        <f>G27+J27</f>
        <v/>
      </c>
      <c r="N27" s="196">
        <f>M27-L27</f>
        <v/>
      </c>
    </row>
    <row r="28" ht="15" customHeight="1" s="170">
      <c r="B28" s="163" t="inlineStr">
        <is>
          <t>SiliconeSealant25 B (20 kg)</t>
        </is>
      </c>
      <c r="C28" s="157" t="inlineStr">
        <is>
          <t>EUR/kg</t>
        </is>
      </c>
      <c r="D28" s="239">
        <f>D17</f>
        <v/>
      </c>
      <c r="E28" s="240">
        <f>E17</f>
        <v/>
      </c>
      <c r="F28" s="241">
        <f>D17*E23</f>
        <v/>
      </c>
      <c r="G28" s="186">
        <f>E17*E23</f>
        <v/>
      </c>
      <c r="H28" s="196">
        <f>G28-F28</f>
        <v/>
      </c>
      <c r="I28" s="241">
        <f>D17*F23</f>
        <v/>
      </c>
      <c r="J28" s="186">
        <f>E17*F23</f>
        <v/>
      </c>
      <c r="K28" s="196">
        <f>J28-I28</f>
        <v/>
      </c>
      <c r="L28" s="242">
        <f>F28+I28</f>
        <v/>
      </c>
      <c r="M28" s="186">
        <f>G28+J28</f>
        <v/>
      </c>
      <c r="N28" s="196">
        <f>M28-L28</f>
        <v/>
      </c>
    </row>
    <row r="29" ht="15" customHeight="1" s="170">
      <c r="B29" s="111" t="inlineStr">
        <is>
          <t>CELKEM</t>
        </is>
      </c>
      <c r="C29" s="27" t="n"/>
      <c r="D29" s="27" t="n"/>
      <c r="E29" s="27" t="n"/>
      <c r="F29" s="243">
        <f>SUM(F27:F28)</f>
        <v/>
      </c>
      <c r="G29" s="243">
        <f>SUM(G27:G28)</f>
        <v/>
      </c>
      <c r="H29" s="196">
        <f>SUM(H27:H28)</f>
        <v/>
      </c>
      <c r="I29" s="243">
        <f>SUM(I27:I28)</f>
        <v/>
      </c>
      <c r="J29" s="243">
        <f>SUM(J27:J28)</f>
        <v/>
      </c>
      <c r="K29" s="196">
        <f>SUM(K27:K28)</f>
        <v/>
      </c>
      <c r="L29" s="243">
        <f>SUM(L27:L28)</f>
        <v/>
      </c>
      <c r="M29" s="243">
        <f>SUM(M27:M28)</f>
        <v/>
      </c>
      <c r="N29" s="196">
        <f>SUM(N27:N28)</f>
        <v/>
      </c>
    </row>
    <row r="30"/>
    <row r="31" ht="30" customHeight="1" s="170">
      <c r="B31" s="171" t="inlineStr">
        <is>
          <t>C2) FINANČNÍ DOPAD – SCÉNÁŘ STŘEDNÍ</t>
        </is>
      </c>
      <c r="C31" s="173" t="n"/>
      <c r="D31" s="173" t="n"/>
      <c r="E31" s="173" t="n"/>
      <c r="F31" s="173" t="n"/>
      <c r="G31" s="173" t="n"/>
      <c r="H31" s="173" t="n"/>
      <c r="I31" s="173" t="n"/>
      <c r="J31" s="173" t="n"/>
      <c r="K31" s="173" t="n"/>
      <c r="L31" s="173" t="n"/>
      <c r="M31" s="173" t="n"/>
      <c r="N31" s="173" t="n"/>
    </row>
    <row r="32" ht="25.5" customHeight="1" s="170">
      <c r="B32" s="7" t="inlineStr">
        <is>
          <t>Produkt</t>
        </is>
      </c>
      <c r="C32" s="7" t="n"/>
      <c r="D32" s="7" t="inlineStr">
        <is>
          <t>Aktuální
jedn. cena</t>
        </is>
      </c>
      <c r="E32" s="7" t="inlineStr">
        <is>
          <t>Nová
jedn. cena</t>
        </is>
      </c>
      <c r="F32" s="7" t="inlineStr">
        <is>
          <t>Náklady Q2
AKTUÁLNÍ</t>
        </is>
      </c>
      <c r="G32" s="7" t="inlineStr">
        <is>
          <t>Náklady Q2
NOVÉ</t>
        </is>
      </c>
      <c r="H32" s="7" t="inlineStr">
        <is>
          <t>Rozdíl Q2
(EUR)</t>
        </is>
      </c>
      <c r="I32" s="7" t="inlineStr">
        <is>
          <t>Náklady Q3
AKTUÁLNÍ</t>
        </is>
      </c>
      <c r="J32" s="7" t="inlineStr">
        <is>
          <t>Náklady Q3
NOVÉ</t>
        </is>
      </c>
      <c r="K32" s="7" t="inlineStr">
        <is>
          <t>Rozdíl Q3
(EUR)</t>
        </is>
      </c>
      <c r="L32" s="7" t="inlineStr">
        <is>
          <t>Celkem 6M
AKTUÁLNÍ</t>
        </is>
      </c>
      <c r="M32" s="7" t="inlineStr">
        <is>
          <t>Celkem 6M
NOVÉ</t>
        </is>
      </c>
      <c r="N32" s="7" t="inlineStr">
        <is>
          <t>Celkový rozdíl
6M (EUR)</t>
        </is>
      </c>
    </row>
    <row r="33" ht="15" customHeight="1" s="170">
      <c r="B33" s="163" t="inlineStr">
        <is>
          <t>SiliconeSealant25 A (260 kg)</t>
        </is>
      </c>
      <c r="C33" s="157" t="inlineStr">
        <is>
          <t>EUR/kg</t>
        </is>
      </c>
      <c r="D33" s="239">
        <f>D16</f>
        <v/>
      </c>
      <c r="E33" s="244">
        <f>H16</f>
        <v/>
      </c>
      <c r="F33" s="241">
        <f>D16*E22</f>
        <v/>
      </c>
      <c r="G33" s="189">
        <f>H16*E22</f>
        <v/>
      </c>
      <c r="H33" s="196">
        <f>G33-F33</f>
        <v/>
      </c>
      <c r="I33" s="241">
        <f>D16*F22</f>
        <v/>
      </c>
      <c r="J33" s="189">
        <f>H16*F22</f>
        <v/>
      </c>
      <c r="K33" s="196">
        <f>J33-I33</f>
        <v/>
      </c>
      <c r="L33" s="242">
        <f>F33+I33</f>
        <v/>
      </c>
      <c r="M33" s="189">
        <f>G33+J33</f>
        <v/>
      </c>
      <c r="N33" s="196">
        <f>M33-L33</f>
        <v/>
      </c>
    </row>
    <row r="34" ht="15" customHeight="1" s="170">
      <c r="B34" s="163" t="inlineStr">
        <is>
          <t>SiliconeSealant25 B (20 kg)</t>
        </is>
      </c>
      <c r="C34" s="157" t="inlineStr">
        <is>
          <t>EUR/kg</t>
        </is>
      </c>
      <c r="D34" s="239">
        <f>D17</f>
        <v/>
      </c>
      <c r="E34" s="244">
        <f>H17</f>
        <v/>
      </c>
      <c r="F34" s="241">
        <f>D17*E23</f>
        <v/>
      </c>
      <c r="G34" s="189">
        <f>H17*E23</f>
        <v/>
      </c>
      <c r="H34" s="196">
        <f>G34-F34</f>
        <v/>
      </c>
      <c r="I34" s="241">
        <f>D17*F23</f>
        <v/>
      </c>
      <c r="J34" s="189">
        <f>H17*F23</f>
        <v/>
      </c>
      <c r="K34" s="196">
        <f>J34-I34</f>
        <v/>
      </c>
      <c r="L34" s="242">
        <f>F34+I34</f>
        <v/>
      </c>
      <c r="M34" s="189">
        <f>G34+J34</f>
        <v/>
      </c>
      <c r="N34" s="196">
        <f>M34-L34</f>
        <v/>
      </c>
    </row>
    <row r="35" ht="15" customHeight="1" s="170">
      <c r="B35" s="111" t="inlineStr">
        <is>
          <t>CELKEM</t>
        </is>
      </c>
      <c r="C35" s="27" t="n"/>
      <c r="D35" s="27" t="n"/>
      <c r="E35" s="27" t="n"/>
      <c r="F35" s="243">
        <f>SUM(F33:F34)</f>
        <v/>
      </c>
      <c r="G35" s="243">
        <f>SUM(G33:G34)</f>
        <v/>
      </c>
      <c r="H35" s="196">
        <f>SUM(H33:H34)</f>
        <v/>
      </c>
      <c r="I35" s="243">
        <f>SUM(I33:I34)</f>
        <v/>
      </c>
      <c r="J35" s="243">
        <f>SUM(J33:J34)</f>
        <v/>
      </c>
      <c r="K35" s="196">
        <f>SUM(K33:K34)</f>
        <v/>
      </c>
      <c r="L35" s="243">
        <f>SUM(L33:L34)</f>
        <v/>
      </c>
      <c r="M35" s="243">
        <f>SUM(M33:M34)</f>
        <v/>
      </c>
      <c r="N35" s="196">
        <f>SUM(N33:N34)</f>
        <v/>
      </c>
    </row>
    <row r="36"/>
    <row r="37" ht="30" customHeight="1" s="170">
      <c r="B37" s="171" t="inlineStr">
        <is>
          <t>C3) FINANČNÍ DOPAD – SCÉNÁŘ KRIZOVÝ</t>
        </is>
      </c>
      <c r="C37" s="173" t="n"/>
      <c r="D37" s="173" t="n"/>
      <c r="E37" s="173" t="n"/>
      <c r="F37" s="173" t="n"/>
      <c r="G37" s="173" t="n"/>
      <c r="H37" s="173" t="n"/>
      <c r="I37" s="173" t="n"/>
      <c r="J37" s="173" t="n"/>
      <c r="K37" s="173" t="n"/>
      <c r="L37" s="173" t="n"/>
      <c r="M37" s="173" t="n"/>
      <c r="N37" s="173" t="n"/>
    </row>
    <row r="38" ht="25.5" customHeight="1" s="170">
      <c r="B38" s="7" t="inlineStr">
        <is>
          <t>Produkt</t>
        </is>
      </c>
      <c r="C38" s="7" t="n"/>
      <c r="D38" s="7" t="inlineStr">
        <is>
          <t>Aktuální
jedn. cena</t>
        </is>
      </c>
      <c r="E38" s="7" t="inlineStr">
        <is>
          <t>Nová
jedn. cena</t>
        </is>
      </c>
      <c r="F38" s="7" t="inlineStr">
        <is>
          <t>Náklady Q2
AKTUÁLNÍ</t>
        </is>
      </c>
      <c r="G38" s="7" t="inlineStr">
        <is>
          <t>Náklady Q2
NOVÉ</t>
        </is>
      </c>
      <c r="H38" s="7" t="inlineStr">
        <is>
          <t>Rozdíl Q2
(EUR)</t>
        </is>
      </c>
      <c r="I38" s="7" t="inlineStr">
        <is>
          <t>Náklady Q3
AKTUÁLNÍ</t>
        </is>
      </c>
      <c r="J38" s="7" t="inlineStr">
        <is>
          <t>Náklady Q3
NOVÉ</t>
        </is>
      </c>
      <c r="K38" s="7" t="inlineStr">
        <is>
          <t>Rozdíl Q3
(EUR)</t>
        </is>
      </c>
      <c r="L38" s="7" t="inlineStr">
        <is>
          <t>Celkem 6M
AKTUÁLNÍ</t>
        </is>
      </c>
      <c r="M38" s="7" t="inlineStr">
        <is>
          <t>Celkem 6M
NOVÉ</t>
        </is>
      </c>
      <c r="N38" s="7" t="inlineStr">
        <is>
          <t>Celkový rozdíl
6M (EUR)</t>
        </is>
      </c>
    </row>
    <row r="39" ht="15" customHeight="1" s="170">
      <c r="B39" s="163" t="inlineStr">
        <is>
          <t>SiliconeSealant25 A (260 kg)</t>
        </is>
      </c>
      <c r="C39" s="157" t="inlineStr">
        <is>
          <t>EUR/kg</t>
        </is>
      </c>
      <c r="D39" s="239">
        <f>D16</f>
        <v/>
      </c>
      <c r="E39" s="245">
        <f>K16</f>
        <v/>
      </c>
      <c r="F39" s="241">
        <f>D16*E22</f>
        <v/>
      </c>
      <c r="G39" s="193">
        <f>K16*E22</f>
        <v/>
      </c>
      <c r="H39" s="196">
        <f>G39-F39</f>
        <v/>
      </c>
      <c r="I39" s="241">
        <f>D16*F22</f>
        <v/>
      </c>
      <c r="J39" s="193">
        <f>K16*F22</f>
        <v/>
      </c>
      <c r="K39" s="196">
        <f>J39-I39</f>
        <v/>
      </c>
      <c r="L39" s="242">
        <f>F39+I39</f>
        <v/>
      </c>
      <c r="M39" s="193">
        <f>G39+J39</f>
        <v/>
      </c>
      <c r="N39" s="196">
        <f>M39-L39</f>
        <v/>
      </c>
    </row>
    <row r="40" ht="15" customHeight="1" s="170">
      <c r="B40" s="163" t="inlineStr">
        <is>
          <t>SiliconeSealant25 B (20 kg)</t>
        </is>
      </c>
      <c r="C40" s="157" t="inlineStr">
        <is>
          <t>EUR/kg</t>
        </is>
      </c>
      <c r="D40" s="239">
        <f>D17</f>
        <v/>
      </c>
      <c r="E40" s="245">
        <f>K17</f>
        <v/>
      </c>
      <c r="F40" s="241">
        <f>D17*E23</f>
        <v/>
      </c>
      <c r="G40" s="193">
        <f>K17*E23</f>
        <v/>
      </c>
      <c r="H40" s="196">
        <f>G40-F40</f>
        <v/>
      </c>
      <c r="I40" s="241">
        <f>D17*F23</f>
        <v/>
      </c>
      <c r="J40" s="193">
        <f>K17*F23</f>
        <v/>
      </c>
      <c r="K40" s="196">
        <f>J40-I40</f>
        <v/>
      </c>
      <c r="L40" s="242">
        <f>F40+I40</f>
        <v/>
      </c>
      <c r="M40" s="193">
        <f>G40+J40</f>
        <v/>
      </c>
      <c r="N40" s="196">
        <f>M40-L40</f>
        <v/>
      </c>
    </row>
    <row r="41" ht="15" customHeight="1" s="170">
      <c r="B41" s="111" t="inlineStr">
        <is>
          <t>CELKEM</t>
        </is>
      </c>
      <c r="C41" s="27" t="n"/>
      <c r="D41" s="27" t="n"/>
      <c r="E41" s="27" t="n"/>
      <c r="F41" s="243">
        <f>SUM(F39:F40)</f>
        <v/>
      </c>
      <c r="G41" s="243">
        <f>SUM(G39:G40)</f>
        <v/>
      </c>
      <c r="H41" s="196">
        <f>SUM(H39:H40)</f>
        <v/>
      </c>
      <c r="I41" s="243">
        <f>SUM(I39:I40)</f>
        <v/>
      </c>
      <c r="J41" s="243">
        <f>SUM(J39:J40)</f>
        <v/>
      </c>
      <c r="K41" s="196">
        <f>SUM(K39:K40)</f>
        <v/>
      </c>
      <c r="L41" s="243">
        <f>SUM(L39:L40)</f>
        <v/>
      </c>
      <c r="M41" s="243">
        <f>SUM(M39:M40)</f>
        <v/>
      </c>
      <c r="N41" s="196">
        <f>SUM(N39:N40)</f>
        <v/>
      </c>
    </row>
    <row r="42"/>
    <row r="43"/>
    <row r="44" ht="26.25" customHeight="1" s="170">
      <c r="B44" s="171" t="inlineStr">
        <is>
          <t>D) PREDIKCE vs. REALITA – POROVNÁNÍ S DODAVATELEM</t>
        </is>
      </c>
      <c r="C44" s="173" t="n"/>
      <c r="D44" s="173" t="n"/>
      <c r="E44" s="173" t="n"/>
      <c r="F44" s="173" t="n"/>
      <c r="G44" s="173" t="n"/>
      <c r="H44" s="173" t="n"/>
      <c r="I44" s="173" t="n"/>
      <c r="J44" s="173" t="n"/>
      <c r="K44" s="173" t="n"/>
      <c r="L44" s="173" t="n"/>
      <c r="M44" s="173" t="n"/>
      <c r="N44" s="173" t="n"/>
      <c r="O44" s="173" t="n"/>
    </row>
    <row r="45" ht="25.5" customHeight="1" s="170">
      <c r="B45" s="7" t="inlineStr">
        <is>
          <t>Produkt</t>
        </is>
      </c>
      <c r="C45" s="7" t="inlineStr">
        <is>
          <t>Jednotka</t>
        </is>
      </c>
      <c r="D45" s="7" t="inlineStr">
        <is>
          <t>Aktuální
cena</t>
        </is>
      </c>
      <c r="E45" s="7" t="inlineStr">
        <is>
          <t>Predikce
MÍRNÝ</t>
        </is>
      </c>
      <c r="F45" s="7" t="inlineStr">
        <is>
          <t>Predikce
STŘEDNÍ</t>
        </is>
      </c>
      <c r="G45" s="7" t="inlineStr">
        <is>
          <t>Predikce
KRIZOVÝ</t>
        </is>
      </c>
      <c r="H45" s="7" t="inlineStr">
        <is>
          <t>Reálná nová
cena (EUR)</t>
        </is>
      </c>
      <c r="I45" s="7" t="inlineStr">
        <is>
          <t>Reálné
zdražení (%)</t>
        </is>
      </c>
      <c r="J45" s="7" t="inlineStr">
        <is>
          <t>Reálný vs.
Mírný</t>
        </is>
      </c>
      <c r="K45" s="7" t="inlineStr">
        <is>
          <t>Reálný vs.
Střední</t>
        </is>
      </c>
      <c r="L45" s="7" t="inlineStr">
        <is>
          <t>Reálný vs.
Krizový</t>
        </is>
      </c>
      <c r="M45" s="7" t="inlineStr">
        <is>
          <t>Měs. objem</t>
        </is>
      </c>
      <c r="N45" s="7" t="inlineStr">
        <is>
          <t>Reálný dopad
měsíční (EUR)</t>
        </is>
      </c>
      <c r="O45" s="7" t="inlineStr">
        <is>
          <t>Reálný dopad
6M (EUR)</t>
        </is>
      </c>
      <c r="P45" s="155" t="inlineStr">
        <is>
          <t>Zdražení
od</t>
        </is>
      </c>
    </row>
    <row r="46" ht="15" customHeight="1" s="170">
      <c r="B46" s="163" t="inlineStr">
        <is>
          <t>SiliconeSealant25 A (260 kg)</t>
        </is>
      </c>
      <c r="C46" s="157" t="inlineStr">
        <is>
          <t>EUR/kg</t>
        </is>
      </c>
      <c r="D46" s="239">
        <f>D16</f>
        <v/>
      </c>
      <c r="E46" s="240">
        <f>E16</f>
        <v/>
      </c>
      <c r="F46" s="244">
        <f>H16</f>
        <v/>
      </c>
      <c r="G46" s="245">
        <f>K16</f>
        <v/>
      </c>
      <c r="H46" s="48" t="inlineStr">
        <is>
          <t>Doplnit</t>
        </is>
      </c>
      <c r="I46" s="49" t="inlineStr">
        <is>
          <t>Čekáme</t>
        </is>
      </c>
      <c r="J46" s="49" t="inlineStr">
        <is>
          <t>–</t>
        </is>
      </c>
      <c r="K46" s="49" t="inlineStr">
        <is>
          <t>–</t>
        </is>
      </c>
      <c r="L46" s="49" t="inlineStr">
        <is>
          <t>–</t>
        </is>
      </c>
      <c r="M46" s="49" t="inlineStr">
        <is>
          <t>–</t>
        </is>
      </c>
      <c r="N46" s="49" t="inlineStr">
        <is>
          <t>–</t>
        </is>
      </c>
      <c r="O46" s="49" t="inlineStr">
        <is>
          <t>–</t>
        </is>
      </c>
      <c r="P46" s="50" t="inlineStr">
        <is>
          <t>Čekáme</t>
        </is>
      </c>
    </row>
    <row r="47" ht="15" customHeight="1" s="170">
      <c r="B47" s="163" t="inlineStr">
        <is>
          <t>SiliconeSealant25 B (20 kg)</t>
        </is>
      </c>
      <c r="C47" s="157" t="inlineStr">
        <is>
          <t>EUR/kg</t>
        </is>
      </c>
      <c r="D47" s="239">
        <f>D17</f>
        <v/>
      </c>
      <c r="E47" s="240">
        <f>E17</f>
        <v/>
      </c>
      <c r="F47" s="244">
        <f>H17</f>
        <v/>
      </c>
      <c r="G47" s="245">
        <f>K17</f>
        <v/>
      </c>
      <c r="H47" s="48" t="inlineStr">
        <is>
          <t>Doplnit</t>
        </is>
      </c>
      <c r="I47" s="49" t="inlineStr">
        <is>
          <t>Čekáme</t>
        </is>
      </c>
      <c r="J47" s="49" t="inlineStr">
        <is>
          <t>–</t>
        </is>
      </c>
      <c r="K47" s="49" t="inlineStr">
        <is>
          <t>–</t>
        </is>
      </c>
      <c r="L47" s="49" t="inlineStr">
        <is>
          <t>–</t>
        </is>
      </c>
      <c r="M47" s="49" t="inlineStr">
        <is>
          <t>–</t>
        </is>
      </c>
      <c r="N47" s="49" t="inlineStr">
        <is>
          <t>–</t>
        </is>
      </c>
      <c r="O47" s="49" t="inlineStr">
        <is>
          <t>–</t>
        </is>
      </c>
      <c r="P47" s="50" t="inlineStr">
        <is>
          <t>Čekáme</t>
        </is>
      </c>
    </row>
    <row r="48"/>
    <row r="49" ht="15" customHeight="1" s="170">
      <c r="B49" s="165" t="inlineStr">
        <is>
          <t>Status:</t>
        </is>
      </c>
      <c r="C49" s="162" t="inlineStr">
        <is>
          <t>⏳ Čekáme na vyjádření dodavatele. Doplňte reálnou cenu po obdržení nabídky.</t>
        </is>
      </c>
    </row>
  </sheetData>
  <mergeCells count="3">
    <mergeCell ref="B12:J12"/>
    <mergeCell ref="B11:J11"/>
    <mergeCell ref="C49:L49"/>
  </mergeCells>
  <pageMargins left="0.75" right="0.75" top="1" bottom="1" header="0.511811023622047" footer="0.511811023622047"/>
  <pageSetup orientation="portrait" paperSize="9" horizontalDpi="300" verticalDpi="300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2026-03-20T07:43:38Z</dcterms:created>
  <dcterms:modified xmlns:dcterms="http://purl.org/dc/terms/" xmlns:xsi="http://www.w3.org/2001/XMLSchema-instance" xsi:type="dcterms:W3CDTF">2026-05-18T11:08:03Z</dcterms:modified>
  <cp:lastModifiedBy>Capka, Ondrej</cp:lastModifiedBy>
  <cp:revision>7</cp:revision>
  <cp:lastPrinted>2026-03-25T09:34:46Z</cp:lastPrinted>
</cp:coreProperties>
</file>